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Neil\Documents\Consultancy\MEW\Authors and their articles\JOrg Hugel\"/>
    </mc:Choice>
  </mc:AlternateContent>
  <bookViews>
    <workbookView xWindow="0" yWindow="0" windowWidth="16170" windowHeight="9765" activeTab="2"/>
  </bookViews>
  <sheets>
    <sheet name=" Clearance Angle" sheetId="6" r:id="rId1"/>
    <sheet name=" Relieving Char." sheetId="5" r:id="rId2"/>
    <sheet name="Input Output" sheetId="7" r:id="rId3"/>
    <sheet name="Table for Graphs" sheetId="2" r:id="rId4"/>
  </sheets>
  <definedNames>
    <definedName name="_RC" localSheetId="3">'Table for Graphs'!$A$1:$H$51</definedName>
    <definedName name="RC_1" localSheetId="3">'Table for Graphs'!$A$1:$H$52</definedName>
    <definedName name="RC_2" localSheetId="3">'Table for Graphs'!$A$1:$H$52</definedName>
    <definedName name="RC_3" localSheetId="3">'Table for Graphs'!$A$1:$H$52</definedName>
    <definedName name="RC_4" localSheetId="3">'Table for Graphs'!$A$1:$H$52</definedName>
    <definedName name="RC_5" localSheetId="3">'Table for Graphs'!$A$1:$H$53</definedName>
    <definedName name="RC_6" localSheetId="3">'Table for Graphs'!$A$1:$H$52</definedName>
    <definedName name="XM" localSheetId="3">'Table for Graphs'!$A$1:$H$51</definedName>
    <definedName name="XM_1" localSheetId="3">'Table for Graphs'!$A$1:$H$51</definedName>
  </definedNames>
  <calcPr calcId="171027" refMode="R1C1"/>
</workbook>
</file>

<file path=xl/calcChain.xml><?xml version="1.0" encoding="utf-8"?>
<calcChain xmlns="http://schemas.openxmlformats.org/spreadsheetml/2006/main">
  <c r="C6" i="2" l="1"/>
  <c r="G6" i="2" s="1"/>
  <c r="C9" i="2"/>
  <c r="G9" i="2" s="1"/>
  <c r="G27" i="2" s="1"/>
  <c r="C5" i="2"/>
  <c r="C8" i="2"/>
  <c r="G8" i="2"/>
  <c r="G26" i="2" s="1"/>
  <c r="L9" i="7" s="1"/>
  <c r="C3" i="2"/>
  <c r="BR2" i="2"/>
  <c r="C17" i="2"/>
  <c r="C7" i="2"/>
  <c r="AX2" i="2"/>
  <c r="C16" i="2"/>
  <c r="G16" i="2" s="1"/>
  <c r="AD2" i="2"/>
  <c r="AE2" i="2" s="1"/>
  <c r="AD8" i="2" s="1"/>
  <c r="C15" i="2"/>
  <c r="G15" i="2" s="1"/>
  <c r="AF2" i="2" s="1"/>
  <c r="J2" i="2"/>
  <c r="K2" i="2" s="1"/>
  <c r="J8" i="2" s="1"/>
  <c r="C14" i="2"/>
  <c r="G14" i="2" s="1"/>
  <c r="CL2" i="2"/>
  <c r="CM2" i="2"/>
  <c r="CL8" i="2" s="1"/>
  <c r="C18" i="2"/>
  <c r="DI8" i="2"/>
  <c r="DH8" i="2"/>
  <c r="DI9" i="2" s="1"/>
  <c r="DH28" i="2"/>
  <c r="DH27" i="2"/>
  <c r="DH26" i="2"/>
  <c r="DH25" i="2"/>
  <c r="DH24" i="2"/>
  <c r="DH23" i="2"/>
  <c r="DH22" i="2"/>
  <c r="DH21" i="2"/>
  <c r="DH20" i="2"/>
  <c r="DH19" i="2"/>
  <c r="DH18" i="2"/>
  <c r="DH17" i="2"/>
  <c r="DH16" i="2"/>
  <c r="DH15" i="2"/>
  <c r="DH14" i="2"/>
  <c r="DH13" i="2"/>
  <c r="DH12" i="2"/>
  <c r="DH11" i="2"/>
  <c r="DH10" i="2"/>
  <c r="DH9" i="2"/>
  <c r="G21" i="2"/>
  <c r="G5" i="2" s="1"/>
  <c r="AP8" i="2"/>
  <c r="C22" i="2"/>
  <c r="L10" i="7"/>
  <c r="G22" i="2"/>
  <c r="DI10" i="2"/>
  <c r="G18" i="2"/>
  <c r="BS2" i="2"/>
  <c r="K8" i="2"/>
  <c r="G17" i="2"/>
  <c r="AE8" i="2"/>
  <c r="G7" i="2"/>
  <c r="DF8" i="2" s="1"/>
  <c r="AY2" i="2"/>
  <c r="AX8" i="2"/>
  <c r="DG8" i="2"/>
  <c r="AZ2" i="2"/>
  <c r="AZ8" i="2"/>
  <c r="AY8" i="2"/>
  <c r="DF9" i="2"/>
  <c r="DI11" i="2" l="1"/>
  <c r="DG10" i="2"/>
  <c r="V8" i="2"/>
  <c r="L8" i="2"/>
  <c r="BR8" i="2"/>
  <c r="BT2" i="2"/>
  <c r="C33" i="2"/>
  <c r="G33" i="2" s="1"/>
  <c r="B33" i="2"/>
  <c r="F33" i="2" s="1"/>
  <c r="C32" i="2"/>
  <c r="G32" i="2" s="1"/>
  <c r="CM8" i="2"/>
  <c r="CX8" i="2"/>
  <c r="CN8" i="2"/>
  <c r="DG9" i="2"/>
  <c r="AD9" i="2"/>
  <c r="B32" i="2"/>
  <c r="DF10" i="2"/>
  <c r="AX9" i="2"/>
  <c r="BJ8" i="2"/>
  <c r="CN2" i="2"/>
  <c r="CL9" i="2" s="1"/>
  <c r="L2" i="2"/>
  <c r="J9" i="2" s="1"/>
  <c r="BS8" i="2"/>
  <c r="AF8" i="2"/>
  <c r="CX9" i="2" l="1"/>
  <c r="CM9" i="2"/>
  <c r="CN9" i="2"/>
  <c r="CL10" i="2"/>
  <c r="V9" i="2"/>
  <c r="J10" i="2"/>
  <c r="K9" i="2"/>
  <c r="L9" i="2"/>
  <c r="F32" i="2"/>
  <c r="G10" i="2"/>
  <c r="AP9" i="2"/>
  <c r="AD10" i="2"/>
  <c r="AF9" i="2"/>
  <c r="AE9" i="2"/>
  <c r="AX10" i="2"/>
  <c r="AY9" i="2"/>
  <c r="BJ9" i="2"/>
  <c r="AZ9" i="2"/>
  <c r="BR9" i="2"/>
  <c r="CD8" i="2"/>
  <c r="BT8" i="2"/>
  <c r="DG11" i="2"/>
  <c r="DF11" i="2"/>
  <c r="DI12" i="2"/>
  <c r="BR10" i="2" l="1"/>
  <c r="BT9" i="2"/>
  <c r="BS9" i="2"/>
  <c r="CD9" i="2"/>
  <c r="AZ10" i="2"/>
  <c r="AY10" i="2"/>
  <c r="BJ10" i="2"/>
  <c r="AX11" i="2"/>
  <c r="CL11" i="2"/>
  <c r="CN10" i="2"/>
  <c r="CO10" i="2" s="1"/>
  <c r="CM10" i="2"/>
  <c r="CX10" i="2"/>
  <c r="G4" i="2"/>
  <c r="CP8" i="2"/>
  <c r="H17" i="7"/>
  <c r="DF2" i="2"/>
  <c r="CP9" i="2"/>
  <c r="CS9" i="2" s="1"/>
  <c r="BU8" i="2"/>
  <c r="BX8" i="2" s="1"/>
  <c r="BA10" i="2"/>
  <c r="BD10" i="2" s="1"/>
  <c r="DK10" i="2"/>
  <c r="DJ12" i="2"/>
  <c r="N8" i="2"/>
  <c r="BB9" i="2"/>
  <c r="M8" i="2"/>
  <c r="P8" i="2" s="1"/>
  <c r="DK9" i="2"/>
  <c r="BV8" i="2"/>
  <c r="BB10" i="2"/>
  <c r="DK8" i="2"/>
  <c r="AH8" i="2"/>
  <c r="AK8" i="2" s="1"/>
  <c r="BB8" i="2"/>
  <c r="BE8" i="2" s="1"/>
  <c r="CO9" i="2"/>
  <c r="AH9" i="2"/>
  <c r="AK9" i="2" s="1"/>
  <c r="DK12" i="2"/>
  <c r="DN12" i="2" s="1"/>
  <c r="BU9" i="2"/>
  <c r="DG2" i="2"/>
  <c r="DJ2" i="2" s="1"/>
  <c r="DJ11" i="2"/>
  <c r="BA8" i="2"/>
  <c r="AG8" i="2"/>
  <c r="DJ10" i="2"/>
  <c r="DM10" i="2" s="1"/>
  <c r="AG9" i="2"/>
  <c r="M9" i="2"/>
  <c r="DJ9" i="2"/>
  <c r="DM9" i="2" s="1"/>
  <c r="BV9" i="2"/>
  <c r="BY9" i="2" s="1"/>
  <c r="CO8" i="2"/>
  <c r="CR8" i="2" s="1"/>
  <c r="DK11" i="2"/>
  <c r="DN11" i="2" s="1"/>
  <c r="N9" i="2"/>
  <c r="Q9" i="2" s="1"/>
  <c r="BA9" i="2"/>
  <c r="BD9" i="2" s="1"/>
  <c r="DJ8" i="2"/>
  <c r="DM8" i="2" s="1"/>
  <c r="K10" i="2"/>
  <c r="V10" i="2"/>
  <c r="J11" i="2"/>
  <c r="L10" i="2"/>
  <c r="DF12" i="2"/>
  <c r="DI13" i="2"/>
  <c r="DG12" i="2"/>
  <c r="AD11" i="2"/>
  <c r="AE10" i="2"/>
  <c r="AP10" i="2"/>
  <c r="AF10" i="2"/>
  <c r="AH10" i="2" s="1"/>
  <c r="AD12" i="2" l="1"/>
  <c r="AP11" i="2"/>
  <c r="AE11" i="2"/>
  <c r="AF11" i="2"/>
  <c r="DG13" i="2"/>
  <c r="DF13" i="2"/>
  <c r="DI14" i="2"/>
  <c r="DK13" i="2"/>
  <c r="DJ13" i="2"/>
  <c r="DM13" i="2" s="1"/>
  <c r="AG10" i="2"/>
  <c r="AJ10" i="2" s="1"/>
  <c r="M10" i="2"/>
  <c r="J12" i="2"/>
  <c r="V11" i="2"/>
  <c r="K11" i="2"/>
  <c r="L11" i="2"/>
  <c r="DN9" i="2"/>
  <c r="Q8" i="2"/>
  <c r="AJ8" i="2"/>
  <c r="CR9" i="2"/>
  <c r="N10" i="2"/>
  <c r="Q10" i="2" s="1"/>
  <c r="BE9" i="2"/>
  <c r="CP10" i="2"/>
  <c r="CS10" i="2" s="1"/>
  <c r="DM12" i="2"/>
  <c r="DN8" i="2"/>
  <c r="BE10" i="2"/>
  <c r="DN10" i="2"/>
  <c r="CS8" i="2"/>
  <c r="P9" i="2"/>
  <c r="AJ9" i="2"/>
  <c r="BD8" i="2"/>
  <c r="DM11" i="2"/>
  <c r="BX9" i="2"/>
  <c r="BY8" i="2"/>
  <c r="DI2" i="2"/>
  <c r="BC9" i="2"/>
  <c r="BF9" i="2" s="1"/>
  <c r="DL9" i="2"/>
  <c r="DO9" i="2" s="1"/>
  <c r="DL11" i="2"/>
  <c r="DO11" i="2" s="1"/>
  <c r="CQ8" i="2"/>
  <c r="CT8" i="2" s="1"/>
  <c r="CQ9" i="2"/>
  <c r="CT9" i="2" s="1"/>
  <c r="DL10" i="2"/>
  <c r="DO10" i="2" s="1"/>
  <c r="BC10" i="2"/>
  <c r="BF10" i="2" s="1"/>
  <c r="O10" i="2"/>
  <c r="BW9" i="2"/>
  <c r="BZ9" i="2" s="1"/>
  <c r="DL13" i="2"/>
  <c r="AI8" i="2"/>
  <c r="AL8" i="2" s="1"/>
  <c r="DL12" i="2"/>
  <c r="DO12" i="2" s="1"/>
  <c r="BC8" i="2"/>
  <c r="BF8" i="2" s="1"/>
  <c r="CQ10" i="2"/>
  <c r="O11" i="2"/>
  <c r="O9" i="2"/>
  <c r="R9" i="2" s="1"/>
  <c r="AI10" i="2"/>
  <c r="BW8" i="2"/>
  <c r="BZ8" i="2" s="1"/>
  <c r="DL14" i="2"/>
  <c r="AI11" i="2"/>
  <c r="DL8" i="2"/>
  <c r="DO8" i="2" s="1"/>
  <c r="DH2" i="2"/>
  <c r="DK2" i="2" s="1"/>
  <c r="AI9" i="2"/>
  <c r="AL9" i="2" s="1"/>
  <c r="O8" i="2"/>
  <c r="R8" i="2" s="1"/>
  <c r="CN11" i="2"/>
  <c r="CX11" i="2"/>
  <c r="CM11" i="2"/>
  <c r="CL12" i="2"/>
  <c r="CD10" i="2"/>
  <c r="BR11" i="2"/>
  <c r="BT10" i="2"/>
  <c r="BS10" i="2"/>
  <c r="AY11" i="2"/>
  <c r="BC11" i="2" s="1"/>
  <c r="AX12" i="2"/>
  <c r="AZ11" i="2"/>
  <c r="BJ11" i="2"/>
  <c r="BU10" i="2" l="1"/>
  <c r="BV10" i="2"/>
  <c r="BY10" i="2" s="1"/>
  <c r="AL10" i="2"/>
  <c r="BH8" i="2"/>
  <c r="BG8" i="2"/>
  <c r="CA9" i="2"/>
  <c r="CB9" i="2"/>
  <c r="BG10" i="2"/>
  <c r="BH10" i="2"/>
  <c r="DP11" i="2"/>
  <c r="DQ11" i="2"/>
  <c r="AK10" i="2"/>
  <c r="DN13" i="2"/>
  <c r="DO13" i="2" s="1"/>
  <c r="CX12" i="2"/>
  <c r="CL13" i="2"/>
  <c r="CN12" i="2"/>
  <c r="CM12" i="2"/>
  <c r="CP11" i="2"/>
  <c r="CO11" i="2"/>
  <c r="CR11" i="2" s="1"/>
  <c r="S8" i="2"/>
  <c r="T8" i="2"/>
  <c r="AM9" i="2"/>
  <c r="AN9" i="2" s="1"/>
  <c r="BW10" i="2"/>
  <c r="BH9" i="2"/>
  <c r="BG9" i="2"/>
  <c r="M11" i="2"/>
  <c r="P11" i="2" s="1"/>
  <c r="N11" i="2"/>
  <c r="P10" i="2"/>
  <c r="R10" i="2" s="1"/>
  <c r="DI15" i="2"/>
  <c r="DG14" i="2"/>
  <c r="DF14" i="2"/>
  <c r="DJ14" i="2"/>
  <c r="DM14" i="2" s="1"/>
  <c r="DK14" i="2"/>
  <c r="AH11" i="2"/>
  <c r="AK11" i="2" s="1"/>
  <c r="AG11" i="2"/>
  <c r="DM2" i="2"/>
  <c r="DN2" i="2" s="1"/>
  <c r="DO2" i="2" s="1"/>
  <c r="DL2" i="2"/>
  <c r="DQ8" i="2"/>
  <c r="DP8" i="2"/>
  <c r="CB8" i="2"/>
  <c r="CA8" i="2"/>
  <c r="S9" i="2"/>
  <c r="T9" i="2" s="1"/>
  <c r="DP12" i="2"/>
  <c r="DR12" i="2" s="1"/>
  <c r="DS12" i="2" s="1"/>
  <c r="DQ12" i="2"/>
  <c r="CU8" i="2"/>
  <c r="CV8" i="2" s="1"/>
  <c r="DQ9" i="2"/>
  <c r="DP9" i="2"/>
  <c r="AX13" i="2"/>
  <c r="BJ12" i="2"/>
  <c r="AZ12" i="2"/>
  <c r="AY12" i="2"/>
  <c r="BR12" i="2"/>
  <c r="BT11" i="2"/>
  <c r="CD11" i="2"/>
  <c r="BS11" i="2"/>
  <c r="BA11" i="2"/>
  <c r="BB11" i="2"/>
  <c r="BE11" i="2" s="1"/>
  <c r="CQ11" i="2"/>
  <c r="CT10" i="2"/>
  <c r="AM8" i="2"/>
  <c r="AN8" i="2" s="1"/>
  <c r="DP10" i="2"/>
  <c r="DQ10" i="2"/>
  <c r="CU9" i="2"/>
  <c r="CV9" i="2" s="1"/>
  <c r="CR10" i="2"/>
  <c r="J13" i="2"/>
  <c r="L12" i="2"/>
  <c r="K12" i="2"/>
  <c r="V12" i="2"/>
  <c r="AP12" i="2"/>
  <c r="AD13" i="2"/>
  <c r="AE12" i="2"/>
  <c r="AF12" i="2"/>
  <c r="CW9" i="2" l="1"/>
  <c r="CW8" i="2"/>
  <c r="DP13" i="2"/>
  <c r="DQ13" i="2"/>
  <c r="AO8" i="2"/>
  <c r="AO9" i="2"/>
  <c r="S10" i="2"/>
  <c r="T10" i="2"/>
  <c r="M12" i="2"/>
  <c r="P12" i="2" s="1"/>
  <c r="N12" i="2"/>
  <c r="O12" i="2"/>
  <c r="K13" i="2"/>
  <c r="L13" i="2"/>
  <c r="J14" i="2"/>
  <c r="V13" i="2"/>
  <c r="CU10" i="2"/>
  <c r="CV10" i="2" s="1"/>
  <c r="CW10" i="2" s="1"/>
  <c r="BU11" i="2"/>
  <c r="BV11" i="2"/>
  <c r="BY11" i="2" s="1"/>
  <c r="BW11" i="2"/>
  <c r="BA12" i="2"/>
  <c r="BD12" i="2" s="1"/>
  <c r="BB12" i="2"/>
  <c r="BC12" i="2"/>
  <c r="DR10" i="2"/>
  <c r="DS10" i="2" s="1"/>
  <c r="DR9" i="2"/>
  <c r="DS9" i="2" s="1"/>
  <c r="DN14" i="2"/>
  <c r="DO14" i="2" s="1"/>
  <c r="DI16" i="2"/>
  <c r="DG15" i="2"/>
  <c r="DF15" i="2"/>
  <c r="DJ15" i="2"/>
  <c r="DM15" i="2" s="1"/>
  <c r="DK15" i="2"/>
  <c r="DL15" i="2"/>
  <c r="DP2" i="2"/>
  <c r="L5" i="7" s="1"/>
  <c r="C27" i="2"/>
  <c r="L17" i="7" s="1"/>
  <c r="C26" i="2"/>
  <c r="L16" i="7" s="1"/>
  <c r="CM13" i="2"/>
  <c r="CN13" i="2"/>
  <c r="CL14" i="2"/>
  <c r="CX13" i="2"/>
  <c r="BI8" i="2"/>
  <c r="BI9" i="2"/>
  <c r="BI10" i="2"/>
  <c r="CC8" i="2"/>
  <c r="CC9" i="2"/>
  <c r="AD14" i="2"/>
  <c r="AE13" i="2"/>
  <c r="AP13" i="2"/>
  <c r="AF13" i="2"/>
  <c r="BD11" i="2"/>
  <c r="BF11" i="2" s="1"/>
  <c r="BR13" i="2"/>
  <c r="BS12" i="2"/>
  <c r="BT12" i="2"/>
  <c r="CD12" i="2"/>
  <c r="AY13" i="2"/>
  <c r="AX14" i="2"/>
  <c r="BJ13" i="2"/>
  <c r="AZ13" i="2"/>
  <c r="DR8" i="2"/>
  <c r="DS8" i="2" s="1"/>
  <c r="AJ11" i="2"/>
  <c r="AL11" i="2" s="1"/>
  <c r="Q11" i="2"/>
  <c r="R11" i="2" s="1"/>
  <c r="CS11" i="2"/>
  <c r="CT11" i="2" s="1"/>
  <c r="DR11" i="2"/>
  <c r="DS11" i="2" s="1"/>
  <c r="BX10" i="2"/>
  <c r="BZ10" i="2" s="1"/>
  <c r="AG12" i="2"/>
  <c r="AH12" i="2"/>
  <c r="AK12" i="2" s="1"/>
  <c r="AI12" i="2"/>
  <c r="U8" i="2"/>
  <c r="U10" i="2"/>
  <c r="U9" i="2"/>
  <c r="CO12" i="2"/>
  <c r="CP12" i="2"/>
  <c r="CS12" i="2" s="1"/>
  <c r="CQ12" i="2"/>
  <c r="AN10" i="2"/>
  <c r="AO10" i="2" s="1"/>
  <c r="AM10" i="2"/>
  <c r="DP14" i="2" l="1"/>
  <c r="DQ14" i="2"/>
  <c r="CU11" i="2"/>
  <c r="CV11" i="2" s="1"/>
  <c r="CW11" i="2" s="1"/>
  <c r="S11" i="2"/>
  <c r="T11" i="2" s="1"/>
  <c r="U11" i="2" s="1"/>
  <c r="CA10" i="2"/>
  <c r="CB10" i="2" s="1"/>
  <c r="CC10" i="2" s="1"/>
  <c r="AZ14" i="2"/>
  <c r="AY14" i="2"/>
  <c r="AX15" i="2"/>
  <c r="BJ14" i="2"/>
  <c r="BU12" i="2"/>
  <c r="BX12" i="2" s="1"/>
  <c r="BV12" i="2"/>
  <c r="BW12" i="2"/>
  <c r="CO13" i="2"/>
  <c r="CP13" i="2"/>
  <c r="CS13" i="2" s="1"/>
  <c r="CQ13" i="2"/>
  <c r="CR12" i="2"/>
  <c r="AJ12" i="2"/>
  <c r="BB13" i="2"/>
  <c r="BE13" i="2" s="1"/>
  <c r="BA13" i="2"/>
  <c r="BC13" i="2"/>
  <c r="BR14" i="2"/>
  <c r="BS13" i="2"/>
  <c r="BT13" i="2"/>
  <c r="CD13" i="2"/>
  <c r="AH13" i="2"/>
  <c r="AG13" i="2"/>
  <c r="AJ13" i="2" s="1"/>
  <c r="AI13" i="2"/>
  <c r="DN15" i="2"/>
  <c r="DI17" i="2"/>
  <c r="DF16" i="2"/>
  <c r="DG16" i="2"/>
  <c r="DK16" i="2"/>
  <c r="DN16" i="2" s="1"/>
  <c r="DJ16" i="2"/>
  <c r="DL16" i="2"/>
  <c r="M13" i="2"/>
  <c r="P13" i="2" s="1"/>
  <c r="N13" i="2"/>
  <c r="O13" i="2"/>
  <c r="AD15" i="2"/>
  <c r="AE14" i="2"/>
  <c r="AF14" i="2"/>
  <c r="AP14" i="2"/>
  <c r="BG11" i="2"/>
  <c r="BH11" i="2" s="1"/>
  <c r="BI11" i="2" s="1"/>
  <c r="CL15" i="2"/>
  <c r="CN14" i="2"/>
  <c r="CM14" i="2"/>
  <c r="CX14" i="2"/>
  <c r="CT12" i="2"/>
  <c r="AL12" i="2"/>
  <c r="BE12" i="2"/>
  <c r="BF12" i="2" s="1"/>
  <c r="BX11" i="2"/>
  <c r="BZ11" i="2" s="1"/>
  <c r="J15" i="2"/>
  <c r="K14" i="2"/>
  <c r="V14" i="2"/>
  <c r="L14" i="2"/>
  <c r="Q12" i="2"/>
  <c r="R12" i="2" s="1"/>
  <c r="DR13" i="2"/>
  <c r="DS13" i="2" s="1"/>
  <c r="AM11" i="2"/>
  <c r="AN11" i="2" s="1"/>
  <c r="AO11" i="2" s="1"/>
  <c r="DO15" i="2"/>
  <c r="BG12" i="2" l="1"/>
  <c r="BH12" i="2" s="1"/>
  <c r="BI12" i="2" s="1"/>
  <c r="T12" i="2"/>
  <c r="U12" i="2" s="1"/>
  <c r="S12" i="2"/>
  <c r="CB11" i="2"/>
  <c r="CC11" i="2" s="1"/>
  <c r="CA11" i="2"/>
  <c r="R13" i="2"/>
  <c r="M14" i="2"/>
  <c r="N14" i="2"/>
  <c r="Q14" i="2" s="1"/>
  <c r="O14" i="2"/>
  <c r="CP14" i="2"/>
  <c r="CS14" i="2" s="1"/>
  <c r="CO14" i="2"/>
  <c r="CQ14" i="2"/>
  <c r="Q13" i="2"/>
  <c r="DM16" i="2"/>
  <c r="DO16" i="2" s="1"/>
  <c r="DG17" i="2"/>
  <c r="DI18" i="2"/>
  <c r="DF17" i="2"/>
  <c r="DK17" i="2"/>
  <c r="DN17" i="2" s="1"/>
  <c r="DJ17" i="2"/>
  <c r="DL17" i="2"/>
  <c r="AK13" i="2"/>
  <c r="BR15" i="2"/>
  <c r="BT14" i="2"/>
  <c r="CD14" i="2"/>
  <c r="BS14" i="2"/>
  <c r="CR13" i="2"/>
  <c r="DQ15" i="2"/>
  <c r="DP15" i="2"/>
  <c r="DR15" i="2" s="1"/>
  <c r="DS15" i="2" s="1"/>
  <c r="J16" i="2"/>
  <c r="L15" i="2"/>
  <c r="K15" i="2"/>
  <c r="V15" i="2"/>
  <c r="AH14" i="2"/>
  <c r="AG14" i="2"/>
  <c r="AJ14" i="2" s="1"/>
  <c r="AI14" i="2"/>
  <c r="BF13" i="2"/>
  <c r="BJ15" i="2"/>
  <c r="AY15" i="2"/>
  <c r="AX16" i="2"/>
  <c r="AZ15" i="2"/>
  <c r="AM12" i="2"/>
  <c r="AN12" i="2" s="1"/>
  <c r="AO12" i="2" s="1"/>
  <c r="CU12" i="2"/>
  <c r="CV12" i="2" s="1"/>
  <c r="CW12" i="2" s="1"/>
  <c r="CN15" i="2"/>
  <c r="CX15" i="2"/>
  <c r="CL16" i="2"/>
  <c r="CM15" i="2"/>
  <c r="AF15" i="2"/>
  <c r="AP15" i="2"/>
  <c r="AD16" i="2"/>
  <c r="AE15" i="2"/>
  <c r="AL13" i="2"/>
  <c r="BD13" i="2"/>
  <c r="CT13" i="2"/>
  <c r="BY12" i="2"/>
  <c r="BZ12" i="2" s="1"/>
  <c r="BA14" i="2"/>
  <c r="BD14" i="2" s="1"/>
  <c r="BB14" i="2"/>
  <c r="BC14" i="2"/>
  <c r="BV13" i="2"/>
  <c r="BU13" i="2"/>
  <c r="BX13" i="2" s="1"/>
  <c r="BW13" i="2"/>
  <c r="DR14" i="2"/>
  <c r="DS14" i="2" s="1"/>
  <c r="CB12" i="2" l="1"/>
  <c r="CC12" i="2" s="1"/>
  <c r="CA12" i="2"/>
  <c r="DP16" i="2"/>
  <c r="DR16" i="2" s="1"/>
  <c r="DS16" i="2" s="1"/>
  <c r="DQ16" i="2"/>
  <c r="AY16" i="2"/>
  <c r="AX17" i="2"/>
  <c r="BJ16" i="2"/>
  <c r="AZ16" i="2"/>
  <c r="DF18" i="2"/>
  <c r="DI19" i="2"/>
  <c r="DG18" i="2"/>
  <c r="DJ18" i="2"/>
  <c r="DK18" i="2"/>
  <c r="DN18" i="2" s="1"/>
  <c r="DL18" i="2"/>
  <c r="BY13" i="2"/>
  <c r="BE14" i="2"/>
  <c r="BB15" i="2"/>
  <c r="BE15" i="2" s="1"/>
  <c r="BA15" i="2"/>
  <c r="BC15" i="2"/>
  <c r="M15" i="2"/>
  <c r="P15" i="2" s="1"/>
  <c r="N15" i="2"/>
  <c r="O15" i="2"/>
  <c r="DM17" i="2"/>
  <c r="CR14" i="2"/>
  <c r="CT14" i="2" s="1"/>
  <c r="P14" i="2"/>
  <c r="AM13" i="2"/>
  <c r="AN13" i="2" s="1"/>
  <c r="AO13" i="2" s="1"/>
  <c r="BR16" i="2"/>
  <c r="CD15" i="2"/>
  <c r="BS15" i="2"/>
  <c r="BT15" i="2"/>
  <c r="CU13" i="2"/>
  <c r="CV13" i="2" s="1"/>
  <c r="CW13" i="2" s="1"/>
  <c r="S13" i="2"/>
  <c r="T13" i="2" s="1"/>
  <c r="U13" i="2" s="1"/>
  <c r="BZ13" i="2"/>
  <c r="AH15" i="2"/>
  <c r="AG15" i="2"/>
  <c r="AJ15" i="2" s="1"/>
  <c r="AI15" i="2"/>
  <c r="CP15" i="2"/>
  <c r="CS15" i="2" s="1"/>
  <c r="CO15" i="2"/>
  <c r="CQ15" i="2"/>
  <c r="AK14" i="2"/>
  <c r="AL14" i="2" s="1"/>
  <c r="V16" i="2"/>
  <c r="J17" i="2"/>
  <c r="K16" i="2"/>
  <c r="L16" i="2"/>
  <c r="BU14" i="2"/>
  <c r="BX14" i="2" s="1"/>
  <c r="BV14" i="2"/>
  <c r="BW14" i="2"/>
  <c r="R14" i="2"/>
  <c r="BF14" i="2"/>
  <c r="AP16" i="2"/>
  <c r="AE16" i="2"/>
  <c r="AF16" i="2"/>
  <c r="AD17" i="2"/>
  <c r="CX16" i="2"/>
  <c r="CL17" i="2"/>
  <c r="CN16" i="2"/>
  <c r="CM16" i="2"/>
  <c r="BG13" i="2"/>
  <c r="BH13" i="2" s="1"/>
  <c r="BI13" i="2" s="1"/>
  <c r="DO17" i="2"/>
  <c r="CU14" i="2" l="1"/>
  <c r="CV14" i="2" s="1"/>
  <c r="CW14" i="2" s="1"/>
  <c r="AM14" i="2"/>
  <c r="AN14" i="2" s="1"/>
  <c r="AO14" i="2" s="1"/>
  <c r="N16" i="2"/>
  <c r="M16" i="2"/>
  <c r="P16" i="2" s="1"/>
  <c r="O16" i="2"/>
  <c r="BA16" i="2"/>
  <c r="BB16" i="2"/>
  <c r="BE16" i="2" s="1"/>
  <c r="BC16" i="2"/>
  <c r="CX17" i="2"/>
  <c r="CM17" i="2"/>
  <c r="CL18" i="2"/>
  <c r="CN17" i="2"/>
  <c r="AG16" i="2"/>
  <c r="AJ16" i="2" s="1"/>
  <c r="AH16" i="2"/>
  <c r="AI16" i="2"/>
  <c r="DM18" i="2"/>
  <c r="BU15" i="2"/>
  <c r="BX15" i="2" s="1"/>
  <c r="BV15" i="2"/>
  <c r="BW15" i="2"/>
  <c r="CP16" i="2"/>
  <c r="CO16" i="2"/>
  <c r="CR16" i="2" s="1"/>
  <c r="CQ16" i="2"/>
  <c r="AP17" i="2"/>
  <c r="AD18" i="2"/>
  <c r="AF17" i="2"/>
  <c r="AE17" i="2"/>
  <c r="BG14" i="2"/>
  <c r="BH14" i="2" s="1"/>
  <c r="BI14" i="2" s="1"/>
  <c r="BY14" i="2"/>
  <c r="V17" i="2"/>
  <c r="J18" i="2"/>
  <c r="K17" i="2"/>
  <c r="L17" i="2"/>
  <c r="CR15" i="2"/>
  <c r="CT15" i="2" s="1"/>
  <c r="AK15" i="2"/>
  <c r="AL15" i="2" s="1"/>
  <c r="Q15" i="2"/>
  <c r="R15" i="2" s="1"/>
  <c r="BD15" i="2"/>
  <c r="BF15" i="2" s="1"/>
  <c r="DO18" i="2"/>
  <c r="DG19" i="2"/>
  <c r="DF19" i="2"/>
  <c r="DI20" i="2"/>
  <c r="DK19" i="2"/>
  <c r="DJ19" i="2"/>
  <c r="DM19" i="2" s="1"/>
  <c r="DL19" i="2"/>
  <c r="AY17" i="2"/>
  <c r="BJ17" i="2"/>
  <c r="AX18" i="2"/>
  <c r="AZ17" i="2"/>
  <c r="BZ14" i="2"/>
  <c r="DQ17" i="2"/>
  <c r="DP17" i="2"/>
  <c r="DR17" i="2" s="1"/>
  <c r="DS17" i="2" s="1"/>
  <c r="S14" i="2"/>
  <c r="T14" i="2" s="1"/>
  <c r="U14" i="2" s="1"/>
  <c r="CA13" i="2"/>
  <c r="CB13" i="2" s="1"/>
  <c r="CC13" i="2" s="1"/>
  <c r="BR17" i="2"/>
  <c r="BT16" i="2"/>
  <c r="CD16" i="2"/>
  <c r="BS16" i="2"/>
  <c r="CV15" i="2" l="1"/>
  <c r="CW15" i="2" s="1"/>
  <c r="CU15" i="2"/>
  <c r="BG15" i="2"/>
  <c r="BH15" i="2" s="1"/>
  <c r="BI15" i="2" s="1"/>
  <c r="S15" i="2"/>
  <c r="T15" i="2" s="1"/>
  <c r="U15" i="2" s="1"/>
  <c r="AN15" i="2"/>
  <c r="AO15" i="2" s="1"/>
  <c r="AM15" i="2"/>
  <c r="BJ18" i="2"/>
  <c r="AY18" i="2"/>
  <c r="AX19" i="2"/>
  <c r="AZ18" i="2"/>
  <c r="CA14" i="2"/>
  <c r="CB14" i="2" s="1"/>
  <c r="CC14" i="2" s="1"/>
  <c r="BB17" i="2"/>
  <c r="BE17" i="2" s="1"/>
  <c r="BA17" i="2"/>
  <c r="BC17" i="2"/>
  <c r="DG20" i="2"/>
  <c r="DF20" i="2"/>
  <c r="DI21" i="2"/>
  <c r="DK20" i="2"/>
  <c r="DN20" i="2" s="1"/>
  <c r="DJ20" i="2"/>
  <c r="DL20" i="2"/>
  <c r="BV16" i="2"/>
  <c r="BY16" i="2" s="1"/>
  <c r="BU16" i="2"/>
  <c r="BW16" i="2"/>
  <c r="BR18" i="2"/>
  <c r="BS17" i="2"/>
  <c r="CD17" i="2"/>
  <c r="BT17" i="2"/>
  <c r="M17" i="2"/>
  <c r="N17" i="2"/>
  <c r="Q17" i="2" s="1"/>
  <c r="O17" i="2"/>
  <c r="AF18" i="2"/>
  <c r="AD19" i="2"/>
  <c r="AE18" i="2"/>
  <c r="AP18" i="2"/>
  <c r="CS16" i="2"/>
  <c r="CT16" i="2" s="1"/>
  <c r="BY15" i="2"/>
  <c r="BZ15" i="2" s="1"/>
  <c r="CN18" i="2"/>
  <c r="CX18" i="2"/>
  <c r="CL19" i="2"/>
  <c r="CM18" i="2"/>
  <c r="L18" i="2"/>
  <c r="J19" i="2"/>
  <c r="K18" i="2"/>
  <c r="V18" i="2"/>
  <c r="DN19" i="2"/>
  <c r="DO19" i="2" s="1"/>
  <c r="DQ18" i="2"/>
  <c r="DP18" i="2"/>
  <c r="AH17" i="2"/>
  <c r="AK17" i="2" s="1"/>
  <c r="AG17" i="2"/>
  <c r="AI17" i="2"/>
  <c r="AK16" i="2"/>
  <c r="AL16" i="2" s="1"/>
  <c r="CP17" i="2"/>
  <c r="CO17" i="2"/>
  <c r="CR17" i="2" s="1"/>
  <c r="CQ17" i="2"/>
  <c r="BD16" i="2"/>
  <c r="BF16" i="2" s="1"/>
  <c r="Q16" i="2"/>
  <c r="R16" i="2" s="1"/>
  <c r="CA15" i="2" l="1"/>
  <c r="CB15" i="2" s="1"/>
  <c r="CC15" i="2" s="1"/>
  <c r="BG16" i="2"/>
  <c r="BH16" i="2" s="1"/>
  <c r="BI16" i="2" s="1"/>
  <c r="AN16" i="2"/>
  <c r="AO16" i="2" s="1"/>
  <c r="AM16" i="2"/>
  <c r="S16" i="2"/>
  <c r="T16" i="2" s="1"/>
  <c r="U16" i="2" s="1"/>
  <c r="CU16" i="2"/>
  <c r="CV16" i="2" s="1"/>
  <c r="CW16" i="2" s="1"/>
  <c r="DP19" i="2"/>
  <c r="DQ19" i="2"/>
  <c r="CO18" i="2"/>
  <c r="CP18" i="2"/>
  <c r="CS18" i="2" s="1"/>
  <c r="CQ18" i="2"/>
  <c r="BU17" i="2"/>
  <c r="BX17" i="2" s="1"/>
  <c r="BV17" i="2"/>
  <c r="BW17" i="2"/>
  <c r="DR18" i="2"/>
  <c r="DS18" i="2" s="1"/>
  <c r="N18" i="2"/>
  <c r="Q18" i="2" s="1"/>
  <c r="M18" i="2"/>
  <c r="O18" i="2"/>
  <c r="CN19" i="2"/>
  <c r="CX19" i="2"/>
  <c r="CM19" i="2"/>
  <c r="CL20" i="2"/>
  <c r="BR19" i="2"/>
  <c r="CD18" i="2"/>
  <c r="BT18" i="2"/>
  <c r="BS18" i="2"/>
  <c r="DF21" i="2"/>
  <c r="DI22" i="2"/>
  <c r="DG21" i="2"/>
  <c r="DK21" i="2"/>
  <c r="DJ21" i="2"/>
  <c r="DM21" i="2" s="1"/>
  <c r="DL21" i="2"/>
  <c r="BD17" i="2"/>
  <c r="BF17" i="2" s="1"/>
  <c r="AX20" i="2"/>
  <c r="BJ19" i="2"/>
  <c r="AY19" i="2"/>
  <c r="AZ19" i="2"/>
  <c r="J20" i="2"/>
  <c r="V19" i="2"/>
  <c r="K19" i="2"/>
  <c r="L19" i="2"/>
  <c r="AH18" i="2"/>
  <c r="AG18" i="2"/>
  <c r="AJ18" i="2" s="1"/>
  <c r="AI18" i="2"/>
  <c r="DO20" i="2"/>
  <c r="CS17" i="2"/>
  <c r="CT17" i="2" s="1"/>
  <c r="AJ17" i="2"/>
  <c r="AL17" i="2" s="1"/>
  <c r="AD20" i="2"/>
  <c r="AP19" i="2"/>
  <c r="AF19" i="2"/>
  <c r="AE19" i="2"/>
  <c r="P17" i="2"/>
  <c r="R17" i="2" s="1"/>
  <c r="BX16" i="2"/>
  <c r="BZ16" i="2" s="1"/>
  <c r="DM20" i="2"/>
  <c r="BA18" i="2"/>
  <c r="BB18" i="2"/>
  <c r="BE18" i="2" s="1"/>
  <c r="BC18" i="2"/>
  <c r="BG17" i="2" l="1"/>
  <c r="BH17" i="2" s="1"/>
  <c r="BI17" i="2" s="1"/>
  <c r="S17" i="2"/>
  <c r="T17" i="2" s="1"/>
  <c r="U17" i="2" s="1"/>
  <c r="CU17" i="2"/>
  <c r="CV17" i="2" s="1"/>
  <c r="CW17" i="2" s="1"/>
  <c r="CA16" i="2"/>
  <c r="CB16" i="2" s="1"/>
  <c r="CC16" i="2" s="1"/>
  <c r="AM17" i="2"/>
  <c r="AN17" i="2" s="1"/>
  <c r="AO17" i="2" s="1"/>
  <c r="BD18" i="2"/>
  <c r="AH19" i="2"/>
  <c r="AG19" i="2"/>
  <c r="AJ19" i="2" s="1"/>
  <c r="AI19" i="2"/>
  <c r="CN20" i="2"/>
  <c r="CX20" i="2"/>
  <c r="CM20" i="2"/>
  <c r="CL21" i="2"/>
  <c r="DP20" i="2"/>
  <c r="DQ20" i="2"/>
  <c r="AK18" i="2"/>
  <c r="K20" i="2"/>
  <c r="V20" i="2"/>
  <c r="L20" i="2"/>
  <c r="J21" i="2"/>
  <c r="BJ20" i="2"/>
  <c r="AY20" i="2"/>
  <c r="AZ20" i="2"/>
  <c r="AX21" i="2"/>
  <c r="DI23" i="2"/>
  <c r="DF22" i="2"/>
  <c r="DG22" i="2"/>
  <c r="DJ22" i="2"/>
  <c r="DM22" i="2" s="1"/>
  <c r="DK22" i="2"/>
  <c r="DL22" i="2"/>
  <c r="CP19" i="2"/>
  <c r="CO19" i="2"/>
  <c r="CR19" i="2" s="1"/>
  <c r="CQ19" i="2"/>
  <c r="P18" i="2"/>
  <c r="R18" i="2" s="1"/>
  <c r="DR19" i="2"/>
  <c r="DS19" i="2" s="1"/>
  <c r="BF18" i="2"/>
  <c r="BR20" i="2"/>
  <c r="CD19" i="2"/>
  <c r="BT19" i="2"/>
  <c r="BS19" i="2"/>
  <c r="AD21" i="2"/>
  <c r="AP20" i="2"/>
  <c r="AE20" i="2"/>
  <c r="AF20" i="2"/>
  <c r="AL18" i="2"/>
  <c r="N19" i="2"/>
  <c r="M19" i="2"/>
  <c r="P19" i="2" s="1"/>
  <c r="O19" i="2"/>
  <c r="BA19" i="2"/>
  <c r="BB19" i="2"/>
  <c r="BE19" i="2" s="1"/>
  <c r="BC19" i="2"/>
  <c r="DN21" i="2"/>
  <c r="DO21" i="2" s="1"/>
  <c r="BU18" i="2"/>
  <c r="BV18" i="2"/>
  <c r="BY18" i="2" s="1"/>
  <c r="BW18" i="2"/>
  <c r="BY17" i="2"/>
  <c r="BZ17" i="2" s="1"/>
  <c r="CR18" i="2"/>
  <c r="CT18" i="2" s="1"/>
  <c r="CA17" i="2" l="1"/>
  <c r="CB17" i="2" s="1"/>
  <c r="CC17" i="2" s="1"/>
  <c r="DQ21" i="2"/>
  <c r="DP21" i="2"/>
  <c r="CU18" i="2"/>
  <c r="CV18" i="2" s="1"/>
  <c r="CW18" i="2" s="1"/>
  <c r="S18" i="2"/>
  <c r="T18" i="2" s="1"/>
  <c r="U18" i="2" s="1"/>
  <c r="BU19" i="2"/>
  <c r="BX19" i="2" s="1"/>
  <c r="BV19" i="2"/>
  <c r="BW19" i="2"/>
  <c r="Q19" i="2"/>
  <c r="BG18" i="2"/>
  <c r="BH18" i="2" s="1"/>
  <c r="BI18" i="2" s="1"/>
  <c r="DN22" i="2"/>
  <c r="DG23" i="2"/>
  <c r="DF23" i="2"/>
  <c r="DI24" i="2"/>
  <c r="DJ23" i="2"/>
  <c r="DK23" i="2"/>
  <c r="DN23" i="2" s="1"/>
  <c r="DL23" i="2"/>
  <c r="BB20" i="2"/>
  <c r="BE20" i="2" s="1"/>
  <c r="BA20" i="2"/>
  <c r="BC20" i="2"/>
  <c r="DR20" i="2"/>
  <c r="DS20" i="2" s="1"/>
  <c r="AK19" i="2"/>
  <c r="BD19" i="2"/>
  <c r="BF19" i="2" s="1"/>
  <c r="N20" i="2"/>
  <c r="Q20" i="2" s="1"/>
  <c r="M20" i="2"/>
  <c r="O20" i="2"/>
  <c r="BX18" i="2"/>
  <c r="AM18" i="2"/>
  <c r="AN18" i="2" s="1"/>
  <c r="AO18" i="2" s="1"/>
  <c r="AE21" i="2"/>
  <c r="AF21" i="2"/>
  <c r="AP21" i="2"/>
  <c r="AD22" i="2"/>
  <c r="R19" i="2"/>
  <c r="CD20" i="2"/>
  <c r="BS20" i="2"/>
  <c r="BT20" i="2"/>
  <c r="BR21" i="2"/>
  <c r="CS19" i="2"/>
  <c r="CT19" i="2" s="1"/>
  <c r="AX22" i="2"/>
  <c r="BJ21" i="2"/>
  <c r="AZ21" i="2"/>
  <c r="AY21" i="2"/>
  <c r="L21" i="2"/>
  <c r="J22" i="2"/>
  <c r="V21" i="2"/>
  <c r="K21" i="2"/>
  <c r="CM21" i="2"/>
  <c r="CN21" i="2"/>
  <c r="CL22" i="2"/>
  <c r="CX21" i="2"/>
  <c r="AL19" i="2"/>
  <c r="BZ18" i="2"/>
  <c r="AG20" i="2"/>
  <c r="AJ20" i="2" s="1"/>
  <c r="AH20" i="2"/>
  <c r="AI20" i="2"/>
  <c r="DO22" i="2"/>
  <c r="CP20" i="2"/>
  <c r="CO20" i="2"/>
  <c r="CR20" i="2" s="1"/>
  <c r="CQ20" i="2"/>
  <c r="BG19" i="2" l="1"/>
  <c r="BH19" i="2" s="1"/>
  <c r="BI19" i="2" s="1"/>
  <c r="CU19" i="2"/>
  <c r="CV19" i="2" s="1"/>
  <c r="CW19" i="2" s="1"/>
  <c r="K22" i="2"/>
  <c r="L22" i="2"/>
  <c r="V22" i="2"/>
  <c r="J23" i="2"/>
  <c r="CN22" i="2"/>
  <c r="CM22" i="2"/>
  <c r="CX22" i="2"/>
  <c r="CL23" i="2"/>
  <c r="CD21" i="2"/>
  <c r="BT21" i="2"/>
  <c r="BS21" i="2"/>
  <c r="BR22" i="2"/>
  <c r="S19" i="2"/>
  <c r="T19" i="2" s="1"/>
  <c r="U19" i="2" s="1"/>
  <c r="AG21" i="2"/>
  <c r="AH21" i="2"/>
  <c r="AK21" i="2" s="1"/>
  <c r="AI21" i="2"/>
  <c r="R20" i="2"/>
  <c r="DF24" i="2"/>
  <c r="DG24" i="2"/>
  <c r="DI25" i="2"/>
  <c r="DK24" i="2"/>
  <c r="DN24" i="2" s="1"/>
  <c r="DJ24" i="2"/>
  <c r="DL24" i="2"/>
  <c r="DR21" i="2"/>
  <c r="DS21" i="2" s="1"/>
  <c r="CA18" i="2"/>
  <c r="CB18" i="2" s="1"/>
  <c r="CC18" i="2" s="1"/>
  <c r="AE22" i="2"/>
  <c r="AF22" i="2"/>
  <c r="AP22" i="2"/>
  <c r="AD23" i="2"/>
  <c r="P20" i="2"/>
  <c r="BY19" i="2"/>
  <c r="BZ19" i="2" s="1"/>
  <c r="AM19" i="2"/>
  <c r="AN19" i="2" s="1"/>
  <c r="AO19" i="2" s="1"/>
  <c r="BV20" i="2"/>
  <c r="BU20" i="2"/>
  <c r="BX20" i="2" s="1"/>
  <c r="BW20" i="2"/>
  <c r="BF20" i="2"/>
  <c r="DP22" i="2"/>
  <c r="DQ22" i="2"/>
  <c r="CO21" i="2"/>
  <c r="CR21" i="2" s="1"/>
  <c r="CP21" i="2"/>
  <c r="CQ21" i="2"/>
  <c r="AY22" i="2"/>
  <c r="AX23" i="2"/>
  <c r="BJ22" i="2"/>
  <c r="AZ22" i="2"/>
  <c r="CS20" i="2"/>
  <c r="CT20" i="2" s="1"/>
  <c r="AK20" i="2"/>
  <c r="AL20" i="2" s="1"/>
  <c r="N21" i="2"/>
  <c r="M21" i="2"/>
  <c r="P21" i="2" s="1"/>
  <c r="O21" i="2"/>
  <c r="BA21" i="2"/>
  <c r="BB21" i="2"/>
  <c r="BE21" i="2" s="1"/>
  <c r="BC21" i="2"/>
  <c r="BD20" i="2"/>
  <c r="DM23" i="2"/>
  <c r="DO23" i="2" s="1"/>
  <c r="AM20" i="2" l="1"/>
  <c r="AN20" i="2" s="1"/>
  <c r="AO20" i="2" s="1"/>
  <c r="CA19" i="2"/>
  <c r="CB19" i="2" s="1"/>
  <c r="CC19" i="2" s="1"/>
  <c r="CU20" i="2"/>
  <c r="CV20" i="2" s="1"/>
  <c r="CW20" i="2" s="1"/>
  <c r="DQ23" i="2"/>
  <c r="DP23" i="2"/>
  <c r="DR23" i="2" s="1"/>
  <c r="DS23" i="2" s="1"/>
  <c r="Q21" i="2"/>
  <c r="CS21" i="2"/>
  <c r="DR22" i="2"/>
  <c r="DS22" i="2" s="1"/>
  <c r="BY20" i="2"/>
  <c r="DM24" i="2"/>
  <c r="AJ21" i="2"/>
  <c r="BV21" i="2"/>
  <c r="BU21" i="2"/>
  <c r="BX21" i="2" s="1"/>
  <c r="BW21" i="2"/>
  <c r="S20" i="2"/>
  <c r="T20" i="2"/>
  <c r="U20" i="2" s="1"/>
  <c r="CP22" i="2"/>
  <c r="CS22" i="2" s="1"/>
  <c r="CO22" i="2"/>
  <c r="CQ22" i="2"/>
  <c r="BD21" i="2"/>
  <c r="BF21" i="2" s="1"/>
  <c r="AZ23" i="2"/>
  <c r="AX24" i="2"/>
  <c r="BJ23" i="2"/>
  <c r="AY23" i="2"/>
  <c r="BG20" i="2"/>
  <c r="BH20" i="2" s="1"/>
  <c r="BI20" i="2" s="1"/>
  <c r="R21" i="2"/>
  <c r="BB22" i="2"/>
  <c r="BE22" i="2" s="1"/>
  <c r="BA22" i="2"/>
  <c r="BC22" i="2"/>
  <c r="BZ20" i="2"/>
  <c r="AH22" i="2"/>
  <c r="AK22" i="2" s="1"/>
  <c r="AG22" i="2"/>
  <c r="AI22" i="2"/>
  <c r="DF25" i="2"/>
  <c r="DI26" i="2"/>
  <c r="DG25" i="2"/>
  <c r="DK25" i="2"/>
  <c r="DN25" i="2" s="1"/>
  <c r="DJ25" i="2"/>
  <c r="DL25" i="2"/>
  <c r="AL21" i="2"/>
  <c r="M22" i="2"/>
  <c r="P22" i="2" s="1"/>
  <c r="N22" i="2"/>
  <c r="Q22" i="2" s="1"/>
  <c r="O22" i="2"/>
  <c r="R22" i="2" s="1"/>
  <c r="CT21" i="2"/>
  <c r="AP23" i="2"/>
  <c r="AE23" i="2"/>
  <c r="AD24" i="2"/>
  <c r="AF23" i="2"/>
  <c r="DO24" i="2"/>
  <c r="BT22" i="2"/>
  <c r="BR23" i="2"/>
  <c r="CD22" i="2"/>
  <c r="BS22" i="2"/>
  <c r="CX23" i="2"/>
  <c r="CM23" i="2"/>
  <c r="CL24" i="2"/>
  <c r="CN23" i="2"/>
  <c r="L23" i="2"/>
  <c r="V23" i="2"/>
  <c r="K23" i="2"/>
  <c r="J24" i="2"/>
  <c r="BG21" i="2" l="1"/>
  <c r="BH21" i="2" s="1"/>
  <c r="BI21" i="2" s="1"/>
  <c r="CO23" i="2"/>
  <c r="CR23" i="2" s="1"/>
  <c r="CP23" i="2"/>
  <c r="CQ23" i="2"/>
  <c r="AH23" i="2"/>
  <c r="AK23" i="2" s="1"/>
  <c r="AG23" i="2"/>
  <c r="AI23" i="2"/>
  <c r="DM25" i="2"/>
  <c r="CA20" i="2"/>
  <c r="CB20" i="2" s="1"/>
  <c r="CC20" i="2" s="1"/>
  <c r="S21" i="2"/>
  <c r="T21" i="2"/>
  <c r="U21" i="2" s="1"/>
  <c r="BY21" i="2"/>
  <c r="AE24" i="2"/>
  <c r="AF24" i="2"/>
  <c r="AD25" i="2"/>
  <c r="AP24" i="2"/>
  <c r="BU22" i="2"/>
  <c r="BX22" i="2" s="1"/>
  <c r="BV22" i="2"/>
  <c r="BW22" i="2"/>
  <c r="BJ24" i="2"/>
  <c r="AZ24" i="2"/>
  <c r="AY24" i="2"/>
  <c r="AX25" i="2"/>
  <c r="BS23" i="2"/>
  <c r="BR24" i="2"/>
  <c r="CD23" i="2"/>
  <c r="BT23" i="2"/>
  <c r="K24" i="2"/>
  <c r="J25" i="2"/>
  <c r="L24" i="2"/>
  <c r="V24" i="2"/>
  <c r="DQ24" i="2"/>
  <c r="DP24" i="2"/>
  <c r="DR24" i="2" s="1"/>
  <c r="DS24" i="2" s="1"/>
  <c r="N23" i="2"/>
  <c r="Q23" i="2" s="1"/>
  <c r="M23" i="2"/>
  <c r="O23" i="2"/>
  <c r="CX24" i="2"/>
  <c r="CM24" i="2"/>
  <c r="CN24" i="2"/>
  <c r="CL25" i="2"/>
  <c r="CU21" i="2"/>
  <c r="CV21" i="2" s="1"/>
  <c r="CW21" i="2" s="1"/>
  <c r="AM21" i="2"/>
  <c r="AN21" i="2" s="1"/>
  <c r="AO21" i="2" s="1"/>
  <c r="AJ22" i="2"/>
  <c r="AL22" i="2" s="1"/>
  <c r="BD22" i="2"/>
  <c r="BF22" i="2" s="1"/>
  <c r="CR22" i="2"/>
  <c r="CT22" i="2" s="1"/>
  <c r="BZ21" i="2"/>
  <c r="S22" i="2"/>
  <c r="T22" i="2" s="1"/>
  <c r="U22" i="2" s="1"/>
  <c r="DO25" i="2"/>
  <c r="DF26" i="2"/>
  <c r="DI27" i="2"/>
  <c r="DG26" i="2"/>
  <c r="DJ26" i="2"/>
  <c r="DK26" i="2"/>
  <c r="DN26" i="2" s="1"/>
  <c r="DL26" i="2"/>
  <c r="BA23" i="2"/>
  <c r="BD23" i="2" s="1"/>
  <c r="BB23" i="2"/>
  <c r="BC23" i="2"/>
  <c r="BG22" i="2" l="1"/>
  <c r="BH22" i="2" s="1"/>
  <c r="BI22" i="2" s="1"/>
  <c r="AM22" i="2"/>
  <c r="AN22" i="2" s="1"/>
  <c r="AO22" i="2" s="1"/>
  <c r="CU22" i="2"/>
  <c r="CV22" i="2" s="1"/>
  <c r="CW22" i="2" s="1"/>
  <c r="CA21" i="2"/>
  <c r="CB21" i="2" s="1"/>
  <c r="CC21" i="2" s="1"/>
  <c r="AH24" i="2"/>
  <c r="AG24" i="2"/>
  <c r="AJ24" i="2" s="1"/>
  <c r="AI24" i="2"/>
  <c r="CS23" i="2"/>
  <c r="CP24" i="2"/>
  <c r="CO24" i="2"/>
  <c r="CR24" i="2" s="1"/>
  <c r="CQ24" i="2"/>
  <c r="DF27" i="2"/>
  <c r="DI28" i="2"/>
  <c r="DG27" i="2"/>
  <c r="DJ27" i="2"/>
  <c r="DK27" i="2"/>
  <c r="DN27" i="2" s="1"/>
  <c r="DL27" i="2"/>
  <c r="AY25" i="2"/>
  <c r="BJ25" i="2"/>
  <c r="AZ25" i="2"/>
  <c r="AX26" i="2"/>
  <c r="AJ23" i="2"/>
  <c r="AL23" i="2" s="1"/>
  <c r="CN25" i="2"/>
  <c r="CL26" i="2"/>
  <c r="CX25" i="2"/>
  <c r="CM25" i="2"/>
  <c r="K25" i="2"/>
  <c r="L25" i="2"/>
  <c r="V25" i="2"/>
  <c r="J26" i="2"/>
  <c r="BR25" i="2"/>
  <c r="CD24" i="2"/>
  <c r="BS24" i="2"/>
  <c r="BT24" i="2"/>
  <c r="BB24" i="2"/>
  <c r="BE24" i="2" s="1"/>
  <c r="BA24" i="2"/>
  <c r="BC24" i="2"/>
  <c r="AD26" i="2"/>
  <c r="AE25" i="2"/>
  <c r="AF25" i="2"/>
  <c r="AP25" i="2"/>
  <c r="BE23" i="2"/>
  <c r="BF23" i="2" s="1"/>
  <c r="DM26" i="2"/>
  <c r="DO26" i="2" s="1"/>
  <c r="DQ25" i="2"/>
  <c r="DP25" i="2"/>
  <c r="DR25" i="2" s="1"/>
  <c r="DS25" i="2" s="1"/>
  <c r="P23" i="2"/>
  <c r="R23" i="2" s="1"/>
  <c r="M24" i="2"/>
  <c r="P24" i="2" s="1"/>
  <c r="N24" i="2"/>
  <c r="O24" i="2"/>
  <c r="BV23" i="2"/>
  <c r="BY23" i="2" s="1"/>
  <c r="BU23" i="2"/>
  <c r="BW23" i="2"/>
  <c r="BY22" i="2"/>
  <c r="BZ22" i="2" s="1"/>
  <c r="CT23" i="2"/>
  <c r="BG23" i="2" l="1"/>
  <c r="BH23" i="2" s="1"/>
  <c r="BI23" i="2" s="1"/>
  <c r="DQ26" i="2"/>
  <c r="DP26" i="2"/>
  <c r="S23" i="2"/>
  <c r="T23" i="2"/>
  <c r="U23" i="2" s="1"/>
  <c r="AM23" i="2"/>
  <c r="AN23" i="2" s="1"/>
  <c r="AO23" i="2" s="1"/>
  <c r="CA22" i="2"/>
  <c r="CB22" i="2"/>
  <c r="CC22" i="2" s="1"/>
  <c r="CU23" i="2"/>
  <c r="CV23" i="2" s="1"/>
  <c r="CW23" i="2" s="1"/>
  <c r="BT25" i="2"/>
  <c r="CD25" i="2"/>
  <c r="BS25" i="2"/>
  <c r="BR26" i="2"/>
  <c r="M25" i="2"/>
  <c r="N25" i="2"/>
  <c r="Q25" i="2" s="1"/>
  <c r="O25" i="2"/>
  <c r="CN26" i="2"/>
  <c r="CX26" i="2"/>
  <c r="CM26" i="2"/>
  <c r="CL27" i="2"/>
  <c r="AZ26" i="2"/>
  <c r="AY26" i="2"/>
  <c r="AX27" i="2"/>
  <c r="BJ26" i="2"/>
  <c r="DG28" i="2"/>
  <c r="DF28" i="2"/>
  <c r="DJ28" i="2"/>
  <c r="DM28" i="2" s="1"/>
  <c r="DK28" i="2"/>
  <c r="DL28" i="2"/>
  <c r="AL24" i="2"/>
  <c r="L26" i="2"/>
  <c r="J27" i="2"/>
  <c r="V26" i="2"/>
  <c r="K26" i="2"/>
  <c r="CS24" i="2"/>
  <c r="AF26" i="2"/>
  <c r="AD27" i="2"/>
  <c r="AP26" i="2"/>
  <c r="AE26" i="2"/>
  <c r="Q24" i="2"/>
  <c r="R24" i="2" s="1"/>
  <c r="BU24" i="2"/>
  <c r="BV24" i="2"/>
  <c r="BY24" i="2" s="1"/>
  <c r="BW24" i="2"/>
  <c r="CO25" i="2"/>
  <c r="CP25" i="2"/>
  <c r="CS25" i="2" s="1"/>
  <c r="CQ25" i="2"/>
  <c r="DM27" i="2"/>
  <c r="DO27" i="2" s="1"/>
  <c r="AK24" i="2"/>
  <c r="BX23" i="2"/>
  <c r="BZ23" i="2" s="1"/>
  <c r="AG25" i="2"/>
  <c r="AH25" i="2"/>
  <c r="AK25" i="2" s="1"/>
  <c r="AI25" i="2"/>
  <c r="BD24" i="2"/>
  <c r="BF24" i="2" s="1"/>
  <c r="BB25" i="2"/>
  <c r="BA25" i="2"/>
  <c r="BD25" i="2" s="1"/>
  <c r="BC25" i="2"/>
  <c r="CT24" i="2"/>
  <c r="CA23" i="2" l="1"/>
  <c r="CB23" i="2" s="1"/>
  <c r="CC23" i="2" s="1"/>
  <c r="S24" i="2"/>
  <c r="T24" i="2" s="1"/>
  <c r="U24" i="2" s="1"/>
  <c r="BG24" i="2"/>
  <c r="BH24" i="2" s="1"/>
  <c r="BI24" i="2" s="1"/>
  <c r="DP27" i="2"/>
  <c r="DR27" i="2" s="1"/>
  <c r="DS27" i="2" s="1"/>
  <c r="DQ27" i="2"/>
  <c r="CR25" i="2"/>
  <c r="CT25" i="2" s="1"/>
  <c r="DN28" i="2"/>
  <c r="BS26" i="2"/>
  <c r="BT26" i="2"/>
  <c r="BR27" i="2"/>
  <c r="CD26" i="2"/>
  <c r="DR26" i="2"/>
  <c r="DS26" i="2" s="1"/>
  <c r="AE27" i="2"/>
  <c r="AF27" i="2"/>
  <c r="AD28" i="2"/>
  <c r="AP27" i="2"/>
  <c r="M26" i="2"/>
  <c r="P26" i="2" s="1"/>
  <c r="N26" i="2"/>
  <c r="O26" i="2"/>
  <c r="CN27" i="2"/>
  <c r="CX27" i="2"/>
  <c r="CL28" i="2"/>
  <c r="CM27" i="2"/>
  <c r="BU25" i="2"/>
  <c r="BX25" i="2" s="1"/>
  <c r="BV25" i="2"/>
  <c r="BW25" i="2"/>
  <c r="BE25" i="2"/>
  <c r="BF25" i="2" s="1"/>
  <c r="AM24" i="2"/>
  <c r="AN24" i="2" s="1"/>
  <c r="AO24" i="2" s="1"/>
  <c r="AY27" i="2"/>
  <c r="AX28" i="2"/>
  <c r="AZ27" i="2"/>
  <c r="BJ27" i="2"/>
  <c r="CP26" i="2"/>
  <c r="CS26" i="2" s="1"/>
  <c r="CO26" i="2"/>
  <c r="CQ26" i="2"/>
  <c r="AJ25" i="2"/>
  <c r="AL25" i="2" s="1"/>
  <c r="CU24" i="2"/>
  <c r="CV24" i="2" s="1"/>
  <c r="CW24" i="2" s="1"/>
  <c r="BX24" i="2"/>
  <c r="BZ24" i="2" s="1"/>
  <c r="AH26" i="2"/>
  <c r="AK26" i="2" s="1"/>
  <c r="AG26" i="2"/>
  <c r="AJ26" i="2" s="1"/>
  <c r="AI26" i="2"/>
  <c r="K27" i="2"/>
  <c r="L27" i="2"/>
  <c r="J28" i="2"/>
  <c r="V27" i="2"/>
  <c r="DO28" i="2"/>
  <c r="BA26" i="2"/>
  <c r="BB26" i="2"/>
  <c r="BE26" i="2" s="1"/>
  <c r="BC26" i="2"/>
  <c r="P25" i="2"/>
  <c r="R25" i="2" s="1"/>
  <c r="AM25" i="2" l="1"/>
  <c r="AN25" i="2" s="1"/>
  <c r="AO25" i="2" s="1"/>
  <c r="S25" i="2"/>
  <c r="T25" i="2" s="1"/>
  <c r="U25" i="2" s="1"/>
  <c r="BG25" i="2"/>
  <c r="BH25" i="2" s="1"/>
  <c r="BI25" i="2" s="1"/>
  <c r="CB24" i="2"/>
  <c r="CC24" i="2" s="1"/>
  <c r="CA24" i="2"/>
  <c r="CU25" i="2"/>
  <c r="CV25" i="2" s="1"/>
  <c r="CW25" i="2" s="1"/>
  <c r="L28" i="2"/>
  <c r="K28" i="2"/>
  <c r="V28" i="2"/>
  <c r="AL26" i="2"/>
  <c r="CR26" i="2"/>
  <c r="BJ28" i="2"/>
  <c r="AZ28" i="2"/>
  <c r="AY28" i="2"/>
  <c r="AH27" i="2"/>
  <c r="AG27" i="2"/>
  <c r="AJ27" i="2" s="1"/>
  <c r="AI27" i="2"/>
  <c r="BR28" i="2"/>
  <c r="CD27" i="2"/>
  <c r="BT27" i="2"/>
  <c r="BS27" i="2"/>
  <c r="BB27" i="2"/>
  <c r="BE27" i="2" s="1"/>
  <c r="BA27" i="2"/>
  <c r="BC27" i="2"/>
  <c r="CP27" i="2"/>
  <c r="CS27" i="2" s="1"/>
  <c r="CO27" i="2"/>
  <c r="CQ27" i="2"/>
  <c r="AF28" i="2"/>
  <c r="AP28" i="2"/>
  <c r="AE28" i="2"/>
  <c r="BU26" i="2"/>
  <c r="BV26" i="2"/>
  <c r="BY26" i="2" s="1"/>
  <c r="BW26" i="2"/>
  <c r="BD26" i="2"/>
  <c r="BF26" i="2" s="1"/>
  <c r="DP28" i="2"/>
  <c r="DQ28" i="2"/>
  <c r="N27" i="2"/>
  <c r="M27" i="2"/>
  <c r="P27" i="2" s="1"/>
  <c r="O27" i="2"/>
  <c r="CT26" i="2"/>
  <c r="BY25" i="2"/>
  <c r="BZ25" i="2" s="1"/>
  <c r="CX28" i="2"/>
  <c r="CM28" i="2"/>
  <c r="CN28" i="2"/>
  <c r="Q26" i="2"/>
  <c r="R26" i="2" s="1"/>
  <c r="CA25" i="2" l="1"/>
  <c r="CB25" i="2" s="1"/>
  <c r="CC25" i="2" s="1"/>
  <c r="BG26" i="2"/>
  <c r="BH26" i="2" s="1"/>
  <c r="BI26" i="2" s="1"/>
  <c r="S26" i="2"/>
  <c r="T26" i="2" s="1"/>
  <c r="U26" i="2" s="1"/>
  <c r="Q27" i="2"/>
  <c r="CR27" i="2"/>
  <c r="BD27" i="2"/>
  <c r="AK27" i="2"/>
  <c r="N28" i="2"/>
  <c r="Q28" i="2" s="1"/>
  <c r="M28" i="2"/>
  <c r="O28" i="2"/>
  <c r="AH28" i="2"/>
  <c r="AG28" i="2"/>
  <c r="AJ28" i="2" s="1"/>
  <c r="AI28" i="2"/>
  <c r="CU26" i="2"/>
  <c r="CV26" i="2" s="1"/>
  <c r="CW26" i="2" s="1"/>
  <c r="CD28" i="2"/>
  <c r="BS28" i="2"/>
  <c r="BT28" i="2"/>
  <c r="BA28" i="2"/>
  <c r="BB28" i="2"/>
  <c r="BE28" i="2" s="1"/>
  <c r="BC28" i="2"/>
  <c r="AM26" i="2"/>
  <c r="AN26" i="2" s="1"/>
  <c r="AO26" i="2" s="1"/>
  <c r="CP28" i="2"/>
  <c r="CS28" i="2" s="1"/>
  <c r="CO28" i="2"/>
  <c r="CQ28" i="2"/>
  <c r="R27" i="2"/>
  <c r="DR28" i="2"/>
  <c r="DS28" i="2" s="1"/>
  <c r="BX26" i="2"/>
  <c r="BZ26" i="2" s="1"/>
  <c r="BU27" i="2"/>
  <c r="BX27" i="2" s="1"/>
  <c r="BV27" i="2"/>
  <c r="BW27" i="2"/>
  <c r="AL27" i="2"/>
  <c r="CT27" i="2"/>
  <c r="BF27" i="2"/>
  <c r="CA26" i="2" l="1"/>
  <c r="CB26" i="2" s="1"/>
  <c r="CC26" i="2" s="1"/>
  <c r="BZ27" i="2"/>
  <c r="BG27" i="2"/>
  <c r="BH27" i="2" s="1"/>
  <c r="BI27" i="2" s="1"/>
  <c r="BY27" i="2"/>
  <c r="S27" i="2"/>
  <c r="T27" i="2" s="1"/>
  <c r="U27" i="2" s="1"/>
  <c r="BD28" i="2"/>
  <c r="BF28" i="2" s="1"/>
  <c r="AK28" i="2"/>
  <c r="CU27" i="2"/>
  <c r="CV27" i="2" s="1"/>
  <c r="CW27" i="2" s="1"/>
  <c r="AM27" i="2"/>
  <c r="AN27" i="2"/>
  <c r="AO27" i="2" s="1"/>
  <c r="CR28" i="2"/>
  <c r="CT28" i="2" s="1"/>
  <c r="BV28" i="2"/>
  <c r="BU28" i="2"/>
  <c r="BX28" i="2" s="1"/>
  <c r="BW28" i="2"/>
  <c r="AL28" i="2"/>
  <c r="P28" i="2"/>
  <c r="R28" i="2" s="1"/>
  <c r="S28" i="2" l="1"/>
  <c r="T28" i="2" s="1"/>
  <c r="U28" i="2" s="1"/>
  <c r="CU28" i="2"/>
  <c r="CV28" i="2" s="1"/>
  <c r="CW28" i="2" s="1"/>
  <c r="BG28" i="2"/>
  <c r="BH28" i="2" s="1"/>
  <c r="BI28" i="2" s="1"/>
  <c r="CA27" i="2"/>
  <c r="CB27" i="2" s="1"/>
  <c r="CC27" i="2" s="1"/>
  <c r="BY28" i="2"/>
  <c r="BZ28" i="2" s="1"/>
  <c r="AM28" i="2"/>
  <c r="AN28" i="2" s="1"/>
  <c r="AO28" i="2" s="1"/>
  <c r="CA28" i="2" l="1"/>
  <c r="CB28" i="2" s="1"/>
  <c r="CC28" i="2" s="1"/>
</calcChain>
</file>

<file path=xl/sharedStrings.xml><?xml version="1.0" encoding="utf-8"?>
<sst xmlns="http://schemas.openxmlformats.org/spreadsheetml/2006/main" count="261" uniqueCount="90">
  <si>
    <t>Parameter</t>
  </si>
  <si>
    <t>Unit</t>
  </si>
  <si>
    <t>Value</t>
  </si>
  <si>
    <t>Deg</t>
  </si>
  <si>
    <t>g</t>
  </si>
  <si>
    <r>
      <t>h</t>
    </r>
    <r>
      <rPr>
        <vertAlign val="subscript"/>
        <sz val="12"/>
        <rFont val="Times New Roman"/>
        <family val="1"/>
      </rPr>
      <t>1</t>
    </r>
  </si>
  <si>
    <r>
      <t>h</t>
    </r>
    <r>
      <rPr>
        <vertAlign val="subscript"/>
        <sz val="12"/>
        <rFont val="Times New Roman"/>
        <family val="1"/>
      </rPr>
      <t>2</t>
    </r>
  </si>
  <si>
    <r>
      <t>h</t>
    </r>
    <r>
      <rPr>
        <vertAlign val="subscript"/>
        <sz val="12"/>
        <rFont val="Times New Roman"/>
        <family val="1"/>
      </rPr>
      <t>4</t>
    </r>
  </si>
  <si>
    <r>
      <t>h</t>
    </r>
    <r>
      <rPr>
        <vertAlign val="subscript"/>
        <sz val="12"/>
        <rFont val="Times New Roman"/>
        <family val="1"/>
      </rPr>
      <t>5</t>
    </r>
  </si>
  <si>
    <r>
      <t>h</t>
    </r>
    <r>
      <rPr>
        <vertAlign val="subscript"/>
        <sz val="12"/>
        <rFont val="Times New Roman"/>
        <family val="1"/>
      </rPr>
      <t>3</t>
    </r>
  </si>
  <si>
    <r>
      <t>R</t>
    </r>
    <r>
      <rPr>
        <i/>
        <vertAlign val="subscript"/>
        <sz val="12"/>
        <rFont val="Times New Roman"/>
        <family val="1"/>
      </rPr>
      <t>R</t>
    </r>
  </si>
  <si>
    <r>
      <t>h</t>
    </r>
    <r>
      <rPr>
        <vertAlign val="subscript"/>
        <sz val="12"/>
        <rFont val="Times New Roman"/>
        <family val="1"/>
      </rPr>
      <t>0</t>
    </r>
  </si>
  <si>
    <t>h</t>
  </si>
  <si>
    <t>Dh</t>
  </si>
  <si>
    <t>x</t>
  </si>
  <si>
    <t>Characteristic 5</t>
  </si>
  <si>
    <t>Characteristic 4</t>
  </si>
  <si>
    <t>Characteristic 3</t>
  </si>
  <si>
    <t>Characteristic 1</t>
  </si>
  <si>
    <t>Characteristic 2</t>
  </si>
  <si>
    <t>Clerance Angle Function</t>
  </si>
  <si>
    <r>
      <t>y</t>
    </r>
    <r>
      <rPr>
        <i/>
        <sz val="12"/>
        <rFont val="Euclid Symbol"/>
        <family val="1"/>
        <charset val="2"/>
      </rPr>
      <t>=a</t>
    </r>
    <r>
      <rPr>
        <vertAlign val="subscript"/>
        <sz val="12"/>
        <rFont val="Times New Roman"/>
        <family val="1"/>
      </rPr>
      <t>0</t>
    </r>
  </si>
  <si>
    <t>ψ</t>
  </si>
  <si>
    <t>d</t>
  </si>
  <si>
    <t>m</t>
  </si>
  <si>
    <t>A</t>
  </si>
  <si>
    <t>B</t>
  </si>
  <si>
    <t>C</t>
  </si>
  <si>
    <t>r</t>
  </si>
  <si>
    <r>
      <t>A</t>
    </r>
    <r>
      <rPr>
        <i/>
        <sz val="12"/>
        <rFont val="Times New Roman"/>
        <family val="1"/>
      </rPr>
      <t>d</t>
    </r>
    <r>
      <rPr>
        <vertAlign val="subscript"/>
        <sz val="12"/>
        <rFont val="Times New Roman"/>
        <family val="1"/>
      </rPr>
      <t>30</t>
    </r>
  </si>
  <si>
    <r>
      <t>A</t>
    </r>
    <r>
      <rPr>
        <i/>
        <sz val="12"/>
        <rFont val="Times New Roman"/>
        <family val="1"/>
      </rPr>
      <t>d</t>
    </r>
    <r>
      <rPr>
        <vertAlign val="subscript"/>
        <sz val="12"/>
        <rFont val="Times New Roman"/>
        <family val="1"/>
      </rPr>
      <t>20</t>
    </r>
  </si>
  <si>
    <t>p</t>
  </si>
  <si>
    <t>t</t>
  </si>
  <si>
    <r>
      <t>A</t>
    </r>
    <r>
      <rPr>
        <i/>
        <sz val="12"/>
        <rFont val="Times New Roman"/>
        <family val="1"/>
      </rPr>
      <t>a</t>
    </r>
    <r>
      <rPr>
        <vertAlign val="subscript"/>
        <sz val="12"/>
        <rFont val="Times New Roman"/>
        <family val="1"/>
      </rPr>
      <t>3</t>
    </r>
  </si>
  <si>
    <r>
      <t>A</t>
    </r>
    <r>
      <rPr>
        <i/>
        <sz val="12"/>
        <rFont val="Times New Roman"/>
        <family val="1"/>
      </rPr>
      <t>a</t>
    </r>
    <r>
      <rPr>
        <vertAlign val="subscript"/>
        <sz val="12"/>
        <rFont val="Times New Roman"/>
        <family val="1"/>
      </rPr>
      <t>2</t>
    </r>
  </si>
  <si>
    <t>l</t>
  </si>
  <si>
    <t>DR</t>
  </si>
  <si>
    <t>RD</t>
  </si>
  <si>
    <t>k</t>
  </si>
  <si>
    <r>
      <t>X</t>
    </r>
    <r>
      <rPr>
        <i/>
        <vertAlign val="subscript"/>
        <sz val="12"/>
        <rFont val="Times New Roman"/>
        <family val="1"/>
      </rPr>
      <t>TD</t>
    </r>
    <r>
      <rPr>
        <i/>
        <sz val="12"/>
        <rFont val="Times New Roman"/>
        <family val="1"/>
      </rPr>
      <t>/L</t>
    </r>
    <r>
      <rPr>
        <i/>
        <vertAlign val="subscript"/>
        <sz val="12"/>
        <rFont val="Times New Roman"/>
        <family val="1"/>
      </rPr>
      <t>LD</t>
    </r>
  </si>
  <si>
    <t>Chisel Edge Angle</t>
  </si>
  <si>
    <t>Input Data</t>
  </si>
  <si>
    <t>mm</t>
  </si>
  <si>
    <t>s</t>
  </si>
  <si>
    <r>
      <t>A</t>
    </r>
    <r>
      <rPr>
        <i/>
        <sz val="12"/>
        <rFont val="Times New Roman"/>
        <family val="1"/>
      </rPr>
      <t>a</t>
    </r>
    <r>
      <rPr>
        <vertAlign val="subscript"/>
        <sz val="12"/>
        <rFont val="Times New Roman"/>
        <family val="1"/>
      </rPr>
      <t>20</t>
    </r>
  </si>
  <si>
    <r>
      <t>A</t>
    </r>
    <r>
      <rPr>
        <i/>
        <sz val="12"/>
        <rFont val="Times New Roman"/>
        <family val="1"/>
      </rPr>
      <t>a</t>
    </r>
    <r>
      <rPr>
        <vertAlign val="subscript"/>
        <sz val="12"/>
        <rFont val="Times New Roman"/>
        <family val="1"/>
      </rPr>
      <t>30</t>
    </r>
  </si>
  <si>
    <r>
      <t>T</t>
    </r>
    <r>
      <rPr>
        <i/>
        <sz val="12"/>
        <rFont val="Times New Roman"/>
        <family val="1"/>
      </rPr>
      <t>x</t>
    </r>
    <r>
      <rPr>
        <i/>
        <vertAlign val="subscript"/>
        <sz val="12"/>
        <rFont val="Times New Roman"/>
        <family val="1"/>
      </rPr>
      <t>2L</t>
    </r>
  </si>
  <si>
    <r>
      <t>T</t>
    </r>
    <r>
      <rPr>
        <i/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2</t>
    </r>
  </si>
  <si>
    <r>
      <t>T</t>
    </r>
    <r>
      <rPr>
        <i/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3</t>
    </r>
  </si>
  <si>
    <r>
      <t>T</t>
    </r>
    <r>
      <rPr>
        <i/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1</t>
    </r>
  </si>
  <si>
    <r>
      <t>y=</t>
    </r>
    <r>
      <rPr>
        <i/>
        <vertAlign val="subscript"/>
        <sz val="12"/>
        <rFont val="Times New Roman"/>
        <family val="1"/>
      </rPr>
      <t>T</t>
    </r>
    <r>
      <rPr>
        <i/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TH1</t>
    </r>
  </si>
  <si>
    <r>
      <t>T</t>
    </r>
    <r>
      <rPr>
        <i/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2</t>
    </r>
    <r>
      <rPr>
        <i/>
        <vertAlign val="subscript"/>
        <sz val="12"/>
        <rFont val="Times New Roman"/>
        <family val="1"/>
      </rPr>
      <t>L</t>
    </r>
  </si>
  <si>
    <t>R</t>
  </si>
  <si>
    <r>
      <t>d</t>
    </r>
    <r>
      <rPr>
        <sz val="12"/>
        <rFont val="Times New Roman"/>
        <family val="1"/>
      </rPr>
      <t>+</t>
    </r>
    <r>
      <rPr>
        <i/>
        <sz val="12"/>
        <rFont val="Euclid Symbol"/>
        <family val="1"/>
        <charset val="2"/>
      </rPr>
      <t>t</t>
    </r>
  </si>
  <si>
    <r>
      <t>D</t>
    </r>
    <r>
      <rPr>
        <i/>
        <vertAlign val="subscript"/>
        <sz val="12"/>
        <rFont val="Times New Roman"/>
        <family val="1"/>
      </rPr>
      <t>D</t>
    </r>
  </si>
  <si>
    <t>Drill's Flute  Angles</t>
  </si>
  <si>
    <t>Lip Length Correction</t>
  </si>
  <si>
    <t xml:space="preserve"> k</t>
  </si>
  <si>
    <t>Drill Diameter</t>
  </si>
  <si>
    <r>
      <t>e</t>
    </r>
    <r>
      <rPr>
        <i/>
        <vertAlign val="subscript"/>
        <sz val="12"/>
        <rFont val="Times New Roman"/>
        <family val="1"/>
      </rPr>
      <t>C</t>
    </r>
  </si>
  <si>
    <t>rad</t>
  </si>
  <si>
    <r>
      <t>d</t>
    </r>
    <r>
      <rPr>
        <i/>
        <vertAlign val="subscript"/>
        <sz val="12"/>
        <rFont val="Times New Roman"/>
        <family val="1"/>
      </rPr>
      <t>rad</t>
    </r>
  </si>
  <si>
    <r>
      <t>d</t>
    </r>
    <r>
      <rPr>
        <i/>
        <vertAlign val="subscript"/>
        <sz val="12"/>
        <rFont val="Times New Roman"/>
        <family val="1"/>
      </rPr>
      <t>Deg</t>
    </r>
  </si>
  <si>
    <r>
      <t>T</t>
    </r>
    <r>
      <rPr>
        <i/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3</t>
    </r>
    <r>
      <rPr>
        <i/>
        <vertAlign val="subscript"/>
        <sz val="12"/>
        <rFont val="Times New Roman"/>
        <family val="1"/>
      </rPr>
      <t>L</t>
    </r>
  </si>
  <si>
    <t xml:space="preserve">Performannce Charts for Drill Grinding Equipment </t>
  </si>
  <si>
    <t>P</t>
  </si>
  <si>
    <t>Setting Parameter</t>
  </si>
  <si>
    <t>Cone's Parameter</t>
  </si>
  <si>
    <t xml:space="preserve">Conically Shaped Flanks </t>
  </si>
  <si>
    <r>
      <t>X</t>
    </r>
    <r>
      <rPr>
        <i/>
        <vertAlign val="subscript"/>
        <sz val="12"/>
        <rFont val="Times New Roman"/>
        <family val="1"/>
      </rPr>
      <t>T</t>
    </r>
    <r>
      <rPr>
        <vertAlign val="subscript"/>
        <sz val="12"/>
        <rFont val="Times New Roman"/>
        <family val="1"/>
      </rPr>
      <t>0</t>
    </r>
    <r>
      <rPr>
        <i/>
        <vertAlign val="subscript"/>
        <sz val="12"/>
        <rFont val="Times New Roman"/>
        <family val="1"/>
      </rPr>
      <t>D</t>
    </r>
    <r>
      <rPr>
        <i/>
        <sz val="12"/>
        <rFont val="Times New Roman"/>
        <family val="1"/>
      </rPr>
      <t>/L</t>
    </r>
    <r>
      <rPr>
        <i/>
        <vertAlign val="subscript"/>
        <sz val="12"/>
        <rFont val="Times New Roman"/>
        <family val="1"/>
      </rPr>
      <t>LD</t>
    </r>
  </si>
  <si>
    <r>
      <t>k</t>
    </r>
    <r>
      <rPr>
        <vertAlign val="subscript"/>
        <sz val="12"/>
        <rFont val="Arial"/>
        <family val="2"/>
      </rPr>
      <t>min</t>
    </r>
  </si>
  <si>
    <r>
      <t>k</t>
    </r>
    <r>
      <rPr>
        <vertAlign val="subscript"/>
        <sz val="12"/>
        <rFont val="Arial"/>
        <family val="2"/>
      </rPr>
      <t>max</t>
    </r>
  </si>
  <si>
    <t>Scal.Prod.</t>
  </si>
  <si>
    <r>
      <t>e</t>
    </r>
    <r>
      <rPr>
        <i/>
        <vertAlign val="subscript"/>
        <sz val="12"/>
        <rFont val="Arial"/>
        <family val="2"/>
      </rPr>
      <t>C</t>
    </r>
    <r>
      <rPr>
        <sz val="12"/>
        <rFont val="Arial"/>
        <family val="2"/>
      </rPr>
      <t>=-1</t>
    </r>
  </si>
  <si>
    <r>
      <t>e</t>
    </r>
    <r>
      <rPr>
        <i/>
        <vertAlign val="subscript"/>
        <sz val="12"/>
        <rFont val="Arial"/>
        <family val="2"/>
      </rPr>
      <t>C</t>
    </r>
    <r>
      <rPr>
        <sz val="12"/>
        <rFont val="Arial"/>
        <family val="2"/>
      </rPr>
      <t>=1</t>
    </r>
  </si>
  <si>
    <r>
      <t>R</t>
    </r>
    <r>
      <rPr>
        <i/>
        <vertAlign val="subscript"/>
        <sz val="12"/>
        <rFont val="Arial"/>
        <family val="2"/>
      </rPr>
      <t>CB</t>
    </r>
  </si>
  <si>
    <r>
      <t>X</t>
    </r>
    <r>
      <rPr>
        <i/>
        <vertAlign val="subscript"/>
        <sz val="12"/>
        <rFont val="Times New Roman"/>
        <family val="1"/>
      </rPr>
      <t>A</t>
    </r>
    <r>
      <rPr>
        <i/>
        <vertAlign val="subscript"/>
        <sz val="12"/>
        <rFont val="Times New Roman"/>
        <family val="1"/>
      </rPr>
      <t>D</t>
    </r>
    <r>
      <rPr>
        <i/>
        <sz val="12"/>
        <rFont val="Times New Roman"/>
        <family val="1"/>
      </rPr>
      <t>/L</t>
    </r>
    <r>
      <rPr>
        <i/>
        <vertAlign val="subscript"/>
        <sz val="12"/>
        <rFont val="Times New Roman"/>
        <family val="1"/>
      </rPr>
      <t>LD</t>
    </r>
  </si>
  <si>
    <r>
      <t>X</t>
    </r>
    <r>
      <rPr>
        <i/>
        <vertAlign val="subscript"/>
        <sz val="12"/>
        <rFont val="Times New Roman"/>
        <family val="1"/>
      </rPr>
      <t>FD</t>
    </r>
    <r>
      <rPr>
        <i/>
        <sz val="12"/>
        <rFont val="Times New Roman"/>
        <family val="1"/>
      </rPr>
      <t>/L</t>
    </r>
    <r>
      <rPr>
        <i/>
        <vertAlign val="subscript"/>
        <sz val="12"/>
        <rFont val="Times New Roman"/>
        <family val="1"/>
      </rPr>
      <t>LD</t>
    </r>
  </si>
  <si>
    <t>Angle Conversions into rad</t>
  </si>
  <si>
    <t>Angle Conversion Factors</t>
  </si>
  <si>
    <t>Drill's Flute Angles in Deg</t>
  </si>
  <si>
    <t>Drill's Flute Angles in rad</t>
  </si>
  <si>
    <t>Lip Length Corrections</t>
  </si>
  <si>
    <t>Setting Parameters</t>
  </si>
  <si>
    <t xml:space="preserve">  Movement for he corrections</t>
  </si>
  <si>
    <t xml:space="preserve"> in the drill's axiial direction,</t>
  </si>
  <si>
    <t xml:space="preserve">  perpendicular to the flanks</t>
  </si>
  <si>
    <t>T07-07/2016</t>
  </si>
  <si>
    <r>
      <t xml:space="preserve">Limits of  </t>
    </r>
    <r>
      <rPr>
        <sz val="12"/>
        <rFont val="Symbol"/>
        <family val="1"/>
        <charset val="2"/>
      </rPr>
      <t>k</t>
    </r>
    <r>
      <rPr>
        <sz val="12"/>
        <rFont val="Arial"/>
        <family val="2"/>
      </rPr>
      <t xml:space="preserve"> in Deg</t>
    </r>
  </si>
  <si>
    <r>
      <t xml:space="preserve">Limits of  </t>
    </r>
    <r>
      <rPr>
        <sz val="12"/>
        <rFont val="Symbol"/>
        <family val="1"/>
        <charset val="2"/>
      </rPr>
      <t>k</t>
    </r>
    <r>
      <rPr>
        <sz val="12"/>
        <rFont val="Arial"/>
        <family val="2"/>
      </rPr>
      <t xml:space="preserve"> in rad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</si>
</sst>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"/>
  </numFmts>
  <fonts count="17">
    <font>
      <sz val="10"/>
      <name val="Arial"/>
    </font>
    <font>
      <sz val="8"/>
      <name val="Arial"/>
    </font>
    <font>
      <i/>
      <vertAlign val="subscript"/>
      <sz val="12"/>
      <name val="Times New Roman"/>
      <family val="1"/>
    </font>
    <font>
      <i/>
      <sz val="12"/>
      <name val="Times New Roman"/>
      <family val="1"/>
    </font>
    <font>
      <i/>
      <sz val="12"/>
      <name val="Euclid Symbol"/>
      <family val="1"/>
      <charset val="2"/>
    </font>
    <font>
      <vertAlign val="subscript"/>
      <sz val="12"/>
      <name val="Times New Roman"/>
      <family val="1"/>
    </font>
    <font>
      <sz val="12"/>
      <name val="Arial"/>
      <family val="2"/>
    </font>
    <font>
      <sz val="12"/>
      <name val="Arial"/>
    </font>
    <font>
      <sz val="12"/>
      <name val="Times New Roman"/>
      <family val="1"/>
    </font>
    <font>
      <i/>
      <sz val="12"/>
      <name val="Arial"/>
      <family val="2"/>
    </font>
    <font>
      <sz val="16"/>
      <name val="Arial"/>
    </font>
    <font>
      <sz val="16"/>
      <name val="Arial"/>
      <family val="2"/>
    </font>
    <font>
      <sz val="12"/>
      <name val="Symbol"/>
      <family val="1"/>
      <charset val="2"/>
    </font>
    <font>
      <sz val="10"/>
      <name val="Arial"/>
      <family val="2"/>
    </font>
    <font>
      <vertAlign val="subscript"/>
      <sz val="12"/>
      <name val="Arial"/>
      <family val="2"/>
    </font>
    <font>
      <i/>
      <vertAlign val="subscript"/>
      <sz val="12"/>
      <name val="Arial"/>
      <family val="2"/>
    </font>
    <font>
      <sz val="10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lightUp">
        <bgColor indexed="41"/>
      </patternFill>
    </fill>
  </fills>
  <borders count="77">
    <border>
      <left/>
      <right/>
      <top/>
      <bottom/>
      <diagonal/>
    </border>
    <border>
      <left style="thin">
        <color indexed="57"/>
      </left>
      <right style="thick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57"/>
      </left>
      <right style="thick">
        <color indexed="57"/>
      </right>
      <top style="thick">
        <color indexed="57"/>
      </top>
      <bottom style="thick">
        <color indexed="57"/>
      </bottom>
      <diagonal/>
    </border>
    <border>
      <left style="thick">
        <color indexed="57"/>
      </left>
      <right style="thin">
        <color indexed="57"/>
      </right>
      <top style="thick">
        <color indexed="57"/>
      </top>
      <bottom style="thick">
        <color indexed="57"/>
      </bottom>
      <diagonal/>
    </border>
    <border>
      <left style="thin">
        <color indexed="57"/>
      </left>
      <right style="thin">
        <color indexed="57"/>
      </right>
      <top style="thick">
        <color indexed="57"/>
      </top>
      <bottom style="thick">
        <color indexed="57"/>
      </bottom>
      <diagonal/>
    </border>
    <border>
      <left style="thick">
        <color indexed="10"/>
      </left>
      <right style="thin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10"/>
      </left>
      <right style="thin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ck">
        <color indexed="10"/>
      </left>
      <right style="thin">
        <color indexed="10"/>
      </right>
      <top style="thin">
        <color indexed="10"/>
      </top>
      <bottom style="thick">
        <color indexed="10"/>
      </bottom>
      <diagonal/>
    </border>
    <border>
      <left style="thick">
        <color indexed="10"/>
      </left>
      <right style="thin">
        <color indexed="10"/>
      </right>
      <top style="thick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ck">
        <color indexed="10"/>
      </top>
      <bottom style="thin">
        <color indexed="10"/>
      </bottom>
      <diagonal/>
    </border>
    <border>
      <left style="thin">
        <color indexed="10"/>
      </left>
      <right style="thick">
        <color indexed="10"/>
      </right>
      <top style="thick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ck">
        <color indexed="10"/>
      </bottom>
      <diagonal/>
    </border>
    <border>
      <left style="thin">
        <color indexed="10"/>
      </left>
      <right style="thick">
        <color indexed="10"/>
      </right>
      <top style="thin">
        <color indexed="10"/>
      </top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53"/>
      </left>
      <right/>
      <top style="thick">
        <color indexed="53"/>
      </top>
      <bottom style="thick">
        <color indexed="53"/>
      </bottom>
      <diagonal/>
    </border>
    <border>
      <left/>
      <right/>
      <top style="thick">
        <color indexed="53"/>
      </top>
      <bottom style="thick">
        <color indexed="53"/>
      </bottom>
      <diagonal/>
    </border>
    <border>
      <left/>
      <right style="thick">
        <color indexed="53"/>
      </right>
      <top style="thick">
        <color indexed="53"/>
      </top>
      <bottom style="thick">
        <color indexed="53"/>
      </bottom>
      <diagonal/>
    </border>
    <border>
      <left style="thick">
        <color indexed="53"/>
      </left>
      <right/>
      <top/>
      <bottom/>
      <diagonal/>
    </border>
    <border>
      <left style="thick">
        <color indexed="52"/>
      </left>
      <right/>
      <top style="thick">
        <color indexed="52"/>
      </top>
      <bottom style="thick">
        <color indexed="53"/>
      </bottom>
      <diagonal/>
    </border>
    <border>
      <left/>
      <right/>
      <top style="thick">
        <color indexed="52"/>
      </top>
      <bottom style="thick">
        <color indexed="53"/>
      </bottom>
      <diagonal/>
    </border>
    <border>
      <left/>
      <right/>
      <top style="thick">
        <color indexed="52"/>
      </top>
      <bottom style="thick">
        <color indexed="52"/>
      </bottom>
      <diagonal/>
    </border>
    <border>
      <left/>
      <right style="thick">
        <color indexed="52"/>
      </right>
      <top style="thick">
        <color indexed="52"/>
      </top>
      <bottom style="thick">
        <color indexed="52"/>
      </bottom>
      <diagonal/>
    </border>
    <border>
      <left style="thick">
        <color indexed="52"/>
      </left>
      <right/>
      <top style="thick">
        <color indexed="52"/>
      </top>
      <bottom style="thick">
        <color indexed="52"/>
      </bottom>
      <diagonal/>
    </border>
    <border>
      <left style="thick">
        <color indexed="52"/>
      </left>
      <right/>
      <top/>
      <bottom/>
      <diagonal/>
    </border>
    <border>
      <left style="thick">
        <color indexed="57"/>
      </left>
      <right style="thin">
        <color indexed="57"/>
      </right>
      <top style="thick">
        <color indexed="57"/>
      </top>
      <bottom style="thin">
        <color indexed="57"/>
      </bottom>
      <diagonal/>
    </border>
    <border>
      <left style="thin">
        <color indexed="57"/>
      </left>
      <right style="thin">
        <color indexed="57"/>
      </right>
      <top style="thick">
        <color indexed="57"/>
      </top>
      <bottom style="thin">
        <color indexed="57"/>
      </bottom>
      <diagonal/>
    </border>
    <border>
      <left style="thin">
        <color indexed="57"/>
      </left>
      <right style="thick">
        <color indexed="57"/>
      </right>
      <top style="thick">
        <color indexed="57"/>
      </top>
      <bottom style="thin">
        <color indexed="57"/>
      </bottom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/>
      <top style="thick">
        <color indexed="53"/>
      </top>
      <bottom style="thick">
        <color indexed="52"/>
      </bottom>
      <diagonal/>
    </border>
    <border>
      <left/>
      <right/>
      <top/>
      <bottom style="thick">
        <color indexed="52"/>
      </bottom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n">
        <color indexed="57"/>
      </left>
      <right style="thick">
        <color indexed="57"/>
      </right>
      <top style="thin">
        <color indexed="57"/>
      </top>
      <bottom style="thick">
        <color indexed="57"/>
      </bottom>
      <diagonal/>
    </border>
    <border>
      <left style="thick">
        <color indexed="53"/>
      </left>
      <right/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/>
      <right style="thick">
        <color indexed="53"/>
      </right>
      <top/>
      <bottom/>
      <diagonal/>
    </border>
    <border>
      <left style="thick">
        <color indexed="57"/>
      </left>
      <right style="thin">
        <color indexed="57"/>
      </right>
      <top style="thick">
        <color indexed="57"/>
      </top>
      <bottom/>
      <diagonal/>
    </border>
    <border>
      <left style="thin">
        <color indexed="57"/>
      </left>
      <right style="thin">
        <color indexed="57"/>
      </right>
      <top style="thick">
        <color indexed="57"/>
      </top>
      <bottom/>
      <diagonal/>
    </border>
    <border>
      <left style="thin">
        <color indexed="57"/>
      </left>
      <right style="thick">
        <color indexed="57"/>
      </right>
      <top style="thick">
        <color indexed="57"/>
      </top>
      <bottom/>
      <diagonal/>
    </border>
    <border>
      <left style="thick">
        <color indexed="57"/>
      </left>
      <right style="thin">
        <color indexed="57"/>
      </right>
      <top style="thin">
        <color indexed="57"/>
      </top>
      <bottom style="thick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ck">
        <color indexed="57"/>
      </bottom>
      <diagonal/>
    </border>
    <border>
      <left style="thick">
        <color indexed="13"/>
      </left>
      <right/>
      <top style="thick">
        <color indexed="13"/>
      </top>
      <bottom/>
      <diagonal/>
    </border>
    <border>
      <left/>
      <right/>
      <top style="thick">
        <color indexed="13"/>
      </top>
      <bottom/>
      <diagonal/>
    </border>
    <border>
      <left/>
      <right style="thick">
        <color indexed="13"/>
      </right>
      <top style="thick">
        <color indexed="13"/>
      </top>
      <bottom/>
      <diagonal/>
    </border>
    <border>
      <left style="thick">
        <color indexed="13"/>
      </left>
      <right/>
      <top/>
      <bottom style="thick">
        <color indexed="13"/>
      </bottom>
      <diagonal/>
    </border>
    <border>
      <left/>
      <right/>
      <top/>
      <bottom style="thick">
        <color indexed="13"/>
      </bottom>
      <diagonal/>
    </border>
    <border>
      <left/>
      <right style="thick">
        <color indexed="13"/>
      </right>
      <top/>
      <bottom style="thick">
        <color indexed="13"/>
      </bottom>
      <diagonal/>
    </border>
    <border>
      <left/>
      <right style="thick">
        <color indexed="53"/>
      </right>
      <top/>
      <bottom style="thick">
        <color indexed="53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 style="thick">
        <color indexed="52"/>
      </left>
      <right/>
      <top style="thick">
        <color indexed="53"/>
      </top>
      <bottom style="thick">
        <color indexed="52"/>
      </bottom>
      <diagonal/>
    </border>
    <border>
      <left style="thick">
        <color indexed="49"/>
      </left>
      <right style="thin">
        <color indexed="49"/>
      </right>
      <top style="thin">
        <color indexed="49"/>
      </top>
      <bottom style="thick">
        <color indexed="49"/>
      </bottom>
      <diagonal/>
    </border>
    <border>
      <left style="thin">
        <color indexed="49"/>
      </left>
      <right style="thin">
        <color indexed="49"/>
      </right>
      <top style="thin">
        <color indexed="49"/>
      </top>
      <bottom style="thick">
        <color indexed="49"/>
      </bottom>
      <diagonal/>
    </border>
    <border>
      <left style="thin">
        <color indexed="49"/>
      </left>
      <right style="thick">
        <color indexed="49"/>
      </right>
      <top style="thin">
        <color indexed="49"/>
      </top>
      <bottom style="thick">
        <color indexed="49"/>
      </bottom>
      <diagonal/>
    </border>
    <border>
      <left style="thick">
        <color indexed="49"/>
      </left>
      <right style="thin">
        <color indexed="49"/>
      </right>
      <top/>
      <bottom style="thin">
        <color indexed="49"/>
      </bottom>
      <diagonal/>
    </border>
    <border>
      <left style="thin">
        <color indexed="49"/>
      </left>
      <right style="thin">
        <color indexed="49"/>
      </right>
      <top/>
      <bottom style="thin">
        <color indexed="49"/>
      </bottom>
      <diagonal/>
    </border>
    <border>
      <left style="thin">
        <color indexed="49"/>
      </left>
      <right style="thick">
        <color indexed="49"/>
      </right>
      <top/>
      <bottom style="thin">
        <color indexed="49"/>
      </bottom>
      <diagonal/>
    </border>
    <border>
      <left style="thick">
        <color indexed="49"/>
      </left>
      <right style="thin">
        <color indexed="49"/>
      </right>
      <top style="thick">
        <color indexed="49"/>
      </top>
      <bottom style="thick">
        <color indexed="49"/>
      </bottom>
      <diagonal/>
    </border>
    <border>
      <left style="thin">
        <color indexed="49"/>
      </left>
      <right style="thin">
        <color indexed="49"/>
      </right>
      <top style="thick">
        <color indexed="49"/>
      </top>
      <bottom style="thick">
        <color indexed="49"/>
      </bottom>
      <diagonal/>
    </border>
    <border>
      <left style="thin">
        <color indexed="49"/>
      </left>
      <right style="thick">
        <color indexed="49"/>
      </right>
      <top style="thick">
        <color indexed="49"/>
      </top>
      <bottom style="thick">
        <color indexed="49"/>
      </bottom>
      <diagonal/>
    </border>
    <border>
      <left/>
      <right/>
      <top style="thick">
        <color indexed="57"/>
      </top>
      <bottom/>
      <diagonal/>
    </border>
    <border>
      <left/>
      <right/>
      <top style="thick">
        <color indexed="52"/>
      </top>
      <bottom/>
      <diagonal/>
    </border>
    <border>
      <left style="thick">
        <color indexed="49"/>
      </left>
      <right/>
      <top/>
      <bottom style="thin">
        <color indexed="49"/>
      </bottom>
      <diagonal/>
    </border>
    <border>
      <left style="thick">
        <color indexed="49"/>
      </left>
      <right/>
      <top style="thin">
        <color indexed="49"/>
      </top>
      <bottom style="thick">
        <color indexed="49"/>
      </bottom>
      <diagonal/>
    </border>
    <border>
      <left style="thick">
        <color indexed="49"/>
      </left>
      <right style="thin">
        <color indexed="49"/>
      </right>
      <top style="thick">
        <color indexed="49"/>
      </top>
      <bottom style="thin">
        <color indexed="49"/>
      </bottom>
      <diagonal/>
    </border>
    <border>
      <left style="thin">
        <color indexed="49"/>
      </left>
      <right style="thick">
        <color indexed="49"/>
      </right>
      <top style="thick">
        <color indexed="49"/>
      </top>
      <bottom style="thin">
        <color indexed="49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0" fillId="0" borderId="0" xfId="0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0" fillId="3" borderId="7" xfId="0" applyFill="1" applyBorder="1" applyAlignment="1" applyProtection="1">
      <alignment horizontal="center" vertical="center"/>
    </xf>
    <xf numFmtId="178" fontId="0" fillId="0" borderId="0" xfId="0" applyNumberFormat="1" applyFill="1" applyBorder="1" applyAlignment="1" applyProtection="1">
      <alignment horizontal="center" vertical="center"/>
    </xf>
    <xf numFmtId="2" fontId="0" fillId="0" borderId="0" xfId="0" applyNumberForma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178" fontId="0" fillId="3" borderId="7" xfId="0" applyNumberFormat="1" applyFill="1" applyBorder="1" applyAlignment="1" applyProtection="1">
      <alignment horizontal="center" vertical="center"/>
    </xf>
    <xf numFmtId="0" fontId="0" fillId="0" borderId="0" xfId="0" quotePrefix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1" fontId="0" fillId="3" borderId="7" xfId="0" applyNumberFormat="1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0" fillId="3" borderId="12" xfId="0" applyFill="1" applyBorder="1" applyAlignment="1" applyProtection="1">
      <alignment horizontal="center" vertical="center"/>
    </xf>
    <xf numFmtId="2" fontId="0" fillId="3" borderId="13" xfId="0" applyNumberForma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0" fillId="3" borderId="14" xfId="0" applyFill="1" applyBorder="1" applyAlignment="1" applyProtection="1">
      <alignment horizontal="center" vertical="center"/>
    </xf>
    <xf numFmtId="2" fontId="0" fillId="3" borderId="15" xfId="0" applyNumberFormat="1" applyFill="1" applyBorder="1" applyAlignment="1" applyProtection="1">
      <alignment horizontal="center" vertical="center"/>
    </xf>
    <xf numFmtId="178" fontId="0" fillId="0" borderId="0" xfId="0" applyNumberForma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horizontal="center" vertical="center"/>
    </xf>
    <xf numFmtId="0" fontId="0" fillId="4" borderId="4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0" fontId="4" fillId="5" borderId="27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0" fontId="4" fillId="4" borderId="29" xfId="0" applyFont="1" applyFill="1" applyBorder="1" applyAlignment="1" applyProtection="1">
      <alignment horizontal="center" vertical="center"/>
    </xf>
    <xf numFmtId="0" fontId="0" fillId="4" borderId="30" xfId="0" applyFill="1" applyBorder="1" applyAlignment="1" applyProtection="1">
      <alignment horizontal="center" vertical="center"/>
    </xf>
    <xf numFmtId="0" fontId="0" fillId="4" borderId="31" xfId="0" applyFill="1" applyBorder="1" applyAlignment="1" applyProtection="1">
      <alignment horizontal="center" vertical="center"/>
    </xf>
    <xf numFmtId="0" fontId="0" fillId="0" borderId="32" xfId="0" applyFill="1" applyBorder="1" applyAlignment="1" applyProtection="1">
      <alignment horizontal="center" vertical="center"/>
    </xf>
    <xf numFmtId="0" fontId="0" fillId="0" borderId="33" xfId="0" applyFill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5" borderId="27" xfId="0" applyNumberFormat="1" applyFill="1" applyBorder="1" applyAlignment="1" applyProtection="1">
      <alignment horizontal="center" vertical="center"/>
    </xf>
    <xf numFmtId="0" fontId="0" fillId="0" borderId="28" xfId="0" applyFill="1" applyBorder="1" applyAlignment="1" applyProtection="1">
      <alignment horizontal="center" vertical="center"/>
    </xf>
    <xf numFmtId="0" fontId="4" fillId="4" borderId="8" xfId="0" applyFont="1" applyFill="1" applyBorder="1" applyAlignment="1" applyProtection="1">
      <alignment horizontal="center"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0" fontId="4" fillId="0" borderId="38" xfId="0" applyFont="1" applyFill="1" applyBorder="1" applyAlignment="1" applyProtection="1">
      <alignment horizontal="center" vertical="center"/>
    </xf>
    <xf numFmtId="0" fontId="0" fillId="0" borderId="39" xfId="0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3" fillId="4" borderId="8" xfId="0" applyFont="1" applyFill="1" applyBorder="1" applyAlignment="1" applyProtection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</xf>
    <xf numFmtId="0" fontId="0" fillId="5" borderId="14" xfId="0" applyFill="1" applyBorder="1" applyAlignment="1" applyProtection="1">
      <alignment horizontal="center" vertical="center"/>
    </xf>
    <xf numFmtId="0" fontId="0" fillId="4" borderId="40" xfId="0" applyFill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0" fillId="2" borderId="45" xfId="0" applyFill="1" applyBorder="1" applyAlignment="1" applyProtection="1">
      <alignment horizontal="center" vertical="center"/>
    </xf>
    <xf numFmtId="0" fontId="0" fillId="2" borderId="46" xfId="0" applyFill="1" applyBorder="1" applyAlignment="1" applyProtection="1">
      <alignment horizontal="center" vertical="center"/>
    </xf>
    <xf numFmtId="0" fontId="0" fillId="2" borderId="47" xfId="0" applyFill="1" applyBorder="1" applyAlignment="1" applyProtection="1">
      <alignment horizontal="center" vertical="center"/>
    </xf>
    <xf numFmtId="0" fontId="0" fillId="4" borderId="45" xfId="0" applyFill="1" applyBorder="1" applyAlignment="1" applyProtection="1">
      <alignment horizontal="center" vertical="center"/>
    </xf>
    <xf numFmtId="0" fontId="0" fillId="4" borderId="46" xfId="0" applyFill="1" applyBorder="1" applyAlignment="1" applyProtection="1">
      <alignment horizontal="center" vertical="center"/>
    </xf>
    <xf numFmtId="0" fontId="0" fillId="4" borderId="47" xfId="0" applyFill="1" applyBorder="1" applyAlignment="1" applyProtection="1">
      <alignment horizontal="center" vertical="center"/>
    </xf>
    <xf numFmtId="0" fontId="4" fillId="4" borderId="48" xfId="0" applyFont="1" applyFill="1" applyBorder="1" applyAlignment="1" applyProtection="1">
      <alignment horizontal="center" vertical="center"/>
    </xf>
    <xf numFmtId="0" fontId="0" fillId="4" borderId="49" xfId="0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 vertical="center"/>
    </xf>
    <xf numFmtId="0" fontId="0" fillId="0" borderId="51" xfId="0" applyBorder="1" applyAlignment="1" applyProtection="1">
      <alignment horizontal="center" vertical="center"/>
    </xf>
    <xf numFmtId="0" fontId="0" fillId="0" borderId="52" xfId="0" applyBorder="1" applyAlignment="1" applyProtection="1">
      <alignment horizontal="center" vertical="center"/>
    </xf>
    <xf numFmtId="0" fontId="0" fillId="0" borderId="53" xfId="0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/>
    </xf>
    <xf numFmtId="0" fontId="0" fillId="0" borderId="55" xfId="0" applyBorder="1" applyAlignment="1" applyProtection="1">
      <alignment horizontal="center" vertical="center"/>
    </xf>
    <xf numFmtId="0" fontId="0" fillId="5" borderId="5" xfId="0" applyFill="1" applyBorder="1" applyAlignment="1" applyProtection="1">
      <alignment horizontal="center" vertical="center"/>
    </xf>
    <xf numFmtId="0" fontId="0" fillId="5" borderId="6" xfId="0" applyFill="1" applyBorder="1" applyAlignment="1" applyProtection="1">
      <alignment horizontal="center" vertical="center"/>
    </xf>
    <xf numFmtId="0" fontId="0" fillId="5" borderId="7" xfId="0" applyFill="1" applyBorder="1" applyAlignment="1" applyProtection="1">
      <alignment horizontal="center" vertical="center"/>
    </xf>
    <xf numFmtId="0" fontId="3" fillId="5" borderId="11" xfId="0" applyFont="1" applyFill="1" applyBorder="1" applyAlignment="1" applyProtection="1">
      <alignment horizontal="center" vertical="center"/>
    </xf>
    <xf numFmtId="0" fontId="0" fillId="5" borderId="12" xfId="0" applyFill="1" applyBorder="1" applyAlignment="1" applyProtection="1">
      <alignment horizontal="center" vertical="center"/>
    </xf>
    <xf numFmtId="0" fontId="0" fillId="5" borderId="13" xfId="0" applyNumberFormat="1" applyFill="1" applyBorder="1" applyAlignment="1" applyProtection="1">
      <alignment horizontal="center" vertical="center"/>
    </xf>
    <xf numFmtId="0" fontId="0" fillId="5" borderId="15" xfId="0" applyNumberFormat="1" applyFill="1" applyBorder="1" applyAlignment="1" applyProtection="1">
      <alignment horizontal="center" vertical="center"/>
    </xf>
    <xf numFmtId="0" fontId="0" fillId="0" borderId="56" xfId="0" applyBorder="1" applyAlignment="1" applyProtection="1">
      <alignment horizontal="center" vertical="center"/>
    </xf>
    <xf numFmtId="2" fontId="0" fillId="0" borderId="39" xfId="0" applyNumberFormat="1" applyFill="1" applyBorder="1" applyAlignment="1" applyProtection="1">
      <alignment horizontal="center" vertical="center"/>
    </xf>
    <xf numFmtId="0" fontId="4" fillId="0" borderId="57" xfId="0" applyFont="1" applyFill="1" applyBorder="1" applyAlignment="1" applyProtection="1">
      <alignment horizontal="center" vertical="center"/>
    </xf>
    <xf numFmtId="0" fontId="0" fillId="0" borderId="58" xfId="0" applyFill="1" applyBorder="1" applyAlignment="1" applyProtection="1">
      <alignment horizontal="center" vertical="center"/>
    </xf>
    <xf numFmtId="2" fontId="0" fillId="0" borderId="59" xfId="0" applyNumberFormat="1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4" fillId="6" borderId="29" xfId="0" applyFont="1" applyFill="1" applyBorder="1" applyAlignment="1" applyProtection="1">
      <alignment horizontal="center" vertical="center"/>
    </xf>
    <xf numFmtId="0" fontId="0" fillId="6" borderId="30" xfId="0" applyFill="1" applyBorder="1" applyAlignment="1" applyProtection="1">
      <alignment horizontal="center" vertical="center"/>
    </xf>
    <xf numFmtId="0" fontId="0" fillId="6" borderId="31" xfId="0" applyFill="1" applyBorder="1" applyAlignment="1" applyProtection="1">
      <alignment horizontal="center" vertical="center"/>
      <protection locked="0"/>
    </xf>
    <xf numFmtId="0" fontId="4" fillId="6" borderId="8" xfId="0" applyFont="1" applyFill="1" applyBorder="1" applyAlignment="1" applyProtection="1">
      <alignment horizontal="center" vertical="center"/>
    </xf>
    <xf numFmtId="0" fontId="0" fillId="6" borderId="9" xfId="0" applyFill="1" applyBorder="1" applyAlignment="1" applyProtection="1">
      <alignment horizontal="center" vertical="center"/>
    </xf>
    <xf numFmtId="0" fontId="0" fillId="6" borderId="1" xfId="0" applyFill="1" applyBorder="1" applyAlignment="1" applyProtection="1">
      <alignment horizontal="center" vertical="center"/>
      <protection locked="0"/>
    </xf>
    <xf numFmtId="0" fontId="4" fillId="6" borderId="48" xfId="0" applyFont="1" applyFill="1" applyBorder="1" applyAlignment="1" applyProtection="1">
      <alignment horizontal="center" vertical="center"/>
    </xf>
    <xf numFmtId="0" fontId="0" fillId="6" borderId="49" xfId="0" applyFill="1" applyBorder="1" applyAlignment="1" applyProtection="1">
      <alignment horizontal="center" vertical="center"/>
    </xf>
    <xf numFmtId="0" fontId="0" fillId="6" borderId="40" xfId="0" applyFill="1" applyBorder="1" applyAlignment="1" applyProtection="1">
      <alignment horizontal="center" vertical="center"/>
      <protection locked="0"/>
    </xf>
    <xf numFmtId="0" fontId="3" fillId="0" borderId="38" xfId="0" applyFont="1" applyFill="1" applyBorder="1" applyAlignment="1" applyProtection="1">
      <alignment horizontal="center" vertical="center"/>
    </xf>
    <xf numFmtId="0" fontId="0" fillId="4" borderId="31" xfId="0" applyNumberFormat="1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horizontal="center" vertical="center"/>
    </xf>
    <xf numFmtId="0" fontId="0" fillId="4" borderId="1" xfId="0" applyNumberFormat="1" applyFill="1" applyBorder="1" applyAlignment="1" applyProtection="1">
      <alignment horizontal="center" vertical="center"/>
    </xf>
    <xf numFmtId="0" fontId="2" fillId="6" borderId="29" xfId="0" applyFont="1" applyFill="1" applyBorder="1" applyAlignment="1" applyProtection="1">
      <alignment horizontal="center" vertical="center"/>
    </xf>
    <xf numFmtId="0" fontId="6" fillId="6" borderId="30" xfId="0" applyFont="1" applyFill="1" applyBorder="1" applyAlignment="1" applyProtection="1">
      <alignment horizontal="center" vertical="center"/>
    </xf>
    <xf numFmtId="0" fontId="3" fillId="2" borderId="48" xfId="0" applyFont="1" applyFill="1" applyBorder="1" applyAlignment="1" applyProtection="1">
      <alignment horizontal="center" vertical="center"/>
    </xf>
    <xf numFmtId="0" fontId="0" fillId="2" borderId="49" xfId="0" applyFill="1" applyBorder="1" applyAlignment="1" applyProtection="1">
      <alignment horizontal="center" vertical="center"/>
    </xf>
    <xf numFmtId="0" fontId="0" fillId="2" borderId="40" xfId="0" applyFill="1" applyBorder="1" applyAlignment="1" applyProtection="1">
      <alignment horizontal="center" vertical="center"/>
      <protection locked="0"/>
    </xf>
    <xf numFmtId="0" fontId="2" fillId="4" borderId="29" xfId="0" applyFont="1" applyFill="1" applyBorder="1" applyAlignment="1" applyProtection="1">
      <alignment horizontal="center" vertical="center"/>
    </xf>
    <xf numFmtId="0" fontId="6" fillId="4" borderId="30" xfId="0" applyFont="1" applyFill="1" applyBorder="1" applyAlignment="1" applyProtection="1">
      <alignment horizontal="center" vertical="center"/>
    </xf>
    <xf numFmtId="0" fontId="9" fillId="0" borderId="60" xfId="0" applyFont="1" applyFill="1" applyBorder="1" applyAlignment="1" applyProtection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</xf>
    <xf numFmtId="0" fontId="0" fillId="4" borderId="48" xfId="0" applyFill="1" applyBorder="1" applyAlignment="1" applyProtection="1">
      <alignment horizontal="center" vertical="center"/>
    </xf>
    <xf numFmtId="2" fontId="0" fillId="5" borderId="13" xfId="0" applyNumberFormat="1" applyFill="1" applyBorder="1" applyAlignment="1" applyProtection="1">
      <alignment horizontal="center" vertical="center"/>
    </xf>
    <xf numFmtId="2" fontId="0" fillId="5" borderId="15" xfId="0" applyNumberFormat="1" applyFill="1" applyBorder="1" applyAlignment="1" applyProtection="1">
      <alignment horizontal="center" vertical="center"/>
    </xf>
    <xf numFmtId="14" fontId="0" fillId="0" borderId="0" xfId="0" applyNumberForma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0" fillId="0" borderId="61" xfId="0" applyBorder="1" applyAlignment="1" applyProtection="1">
      <alignment horizontal="center" vertical="center"/>
    </xf>
    <xf numFmtId="0" fontId="9" fillId="0" borderId="20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</xf>
    <xf numFmtId="0" fontId="13" fillId="3" borderId="14" xfId="0" applyFont="1" applyFill="1" applyBorder="1" applyAlignment="1" applyProtection="1">
      <alignment horizontal="center" vertical="center"/>
    </xf>
    <xf numFmtId="0" fontId="13" fillId="4" borderId="4" xfId="0" applyFont="1" applyFill="1" applyBorder="1" applyAlignment="1" applyProtection="1">
      <alignment horizontal="center" vertical="center"/>
    </xf>
    <xf numFmtId="0" fontId="13" fillId="5" borderId="12" xfId="0" applyFont="1" applyFill="1" applyBorder="1" applyAlignment="1" applyProtection="1">
      <alignment horizontal="center" vertical="center"/>
    </xf>
    <xf numFmtId="0" fontId="13" fillId="5" borderId="14" xfId="0" applyFont="1" applyFill="1" applyBorder="1" applyAlignment="1" applyProtection="1">
      <alignment horizontal="center" vertical="center"/>
    </xf>
    <xf numFmtId="0" fontId="12" fillId="0" borderId="6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12" fillId="0" borderId="65" xfId="0" applyFont="1" applyBorder="1" applyAlignment="1" applyProtection="1">
      <alignment horizontal="center" vertical="center"/>
    </xf>
    <xf numFmtId="0" fontId="13" fillId="0" borderId="66" xfId="0" applyFont="1" applyBorder="1" applyAlignment="1" applyProtection="1">
      <alignment horizontal="center" vertical="center"/>
    </xf>
    <xf numFmtId="0" fontId="13" fillId="0" borderId="67" xfId="0" applyFont="1" applyBorder="1" applyAlignment="1" applyProtection="1">
      <alignment horizontal="center" vertical="center"/>
    </xf>
    <xf numFmtId="0" fontId="6" fillId="0" borderId="68" xfId="0" applyFont="1" applyBorder="1" applyAlignment="1" applyProtection="1">
      <alignment horizontal="center" vertical="center"/>
    </xf>
    <xf numFmtId="0" fontId="9" fillId="0" borderId="69" xfId="0" applyFont="1" applyBorder="1" applyAlignment="1" applyProtection="1">
      <alignment horizontal="center" vertical="center"/>
    </xf>
    <xf numFmtId="0" fontId="9" fillId="0" borderId="70" xfId="0" applyFont="1" applyBorder="1" applyAlignment="1" applyProtection="1">
      <alignment horizontal="center" vertical="center"/>
    </xf>
    <xf numFmtId="0" fontId="12" fillId="0" borderId="73" xfId="0" applyFont="1" applyBorder="1" applyAlignment="1" applyProtection="1">
      <alignment horizontal="center" vertical="center"/>
    </xf>
    <xf numFmtId="0" fontId="12" fillId="0" borderId="74" xfId="0" applyFont="1" applyBorder="1" applyAlignment="1" applyProtection="1">
      <alignment horizontal="center" vertical="center"/>
    </xf>
    <xf numFmtId="0" fontId="6" fillId="0" borderId="75" xfId="0" applyFont="1" applyBorder="1" applyAlignment="1" applyProtection="1">
      <alignment horizontal="center" vertical="center"/>
    </xf>
    <xf numFmtId="0" fontId="6" fillId="0" borderId="76" xfId="0" applyFont="1" applyBorder="1" applyAlignment="1" applyProtection="1">
      <alignment horizontal="center" vertical="center"/>
    </xf>
    <xf numFmtId="0" fontId="6" fillId="0" borderId="62" xfId="0" applyFont="1" applyBorder="1" applyAlignment="1" applyProtection="1">
      <alignment horizontal="center" vertical="center"/>
    </xf>
    <xf numFmtId="0" fontId="6" fillId="0" borderId="64" xfId="0" applyFont="1" applyBorder="1" applyAlignment="1" applyProtection="1">
      <alignment horizontal="center" vertical="center"/>
    </xf>
    <xf numFmtId="0" fontId="13" fillId="0" borderId="38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left" vertical="center"/>
    </xf>
    <xf numFmtId="0" fontId="6" fillId="0" borderId="71" xfId="0" applyFont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6" fillId="0" borderId="72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6" fillId="0" borderId="51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1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93828190158463"/>
          <c:y val="5.5858310626703003E-2"/>
          <c:w val="0.84487072560467036"/>
          <c:h val="0.74114441416893728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'Table for Graphs'!$DI$8:$DI$28</c:f>
              <c:numCache>
                <c:formatCode>General</c:formatCode>
                <c:ptCount val="21"/>
                <c:pt idx="0">
                  <c:v>0.2</c:v>
                </c:pt>
                <c:pt idx="1">
                  <c:v>0.26</c:v>
                </c:pt>
                <c:pt idx="2">
                  <c:v>0.32</c:v>
                </c:pt>
                <c:pt idx="3">
                  <c:v>0.38</c:v>
                </c:pt>
                <c:pt idx="4">
                  <c:v>0.44</c:v>
                </c:pt>
                <c:pt idx="5">
                  <c:v>0.5</c:v>
                </c:pt>
                <c:pt idx="6">
                  <c:v>0.56000000000000005</c:v>
                </c:pt>
                <c:pt idx="7">
                  <c:v>0.62000000000000011</c:v>
                </c:pt>
                <c:pt idx="8">
                  <c:v>0.68000000000000016</c:v>
                </c:pt>
                <c:pt idx="9">
                  <c:v>0.74000000000000021</c:v>
                </c:pt>
                <c:pt idx="10">
                  <c:v>0.80000000000000027</c:v>
                </c:pt>
                <c:pt idx="11">
                  <c:v>0.86000000000000032</c:v>
                </c:pt>
                <c:pt idx="12">
                  <c:v>0.92000000000000037</c:v>
                </c:pt>
                <c:pt idx="13">
                  <c:v>0.98000000000000043</c:v>
                </c:pt>
                <c:pt idx="14">
                  <c:v>1.0400000000000005</c:v>
                </c:pt>
                <c:pt idx="15">
                  <c:v>1.1000000000000005</c:v>
                </c:pt>
                <c:pt idx="16">
                  <c:v>1.1600000000000006</c:v>
                </c:pt>
                <c:pt idx="17">
                  <c:v>1.2200000000000006</c:v>
                </c:pt>
                <c:pt idx="18">
                  <c:v>1.2800000000000007</c:v>
                </c:pt>
                <c:pt idx="19">
                  <c:v>1.3400000000000007</c:v>
                </c:pt>
                <c:pt idx="20">
                  <c:v>1.4000000000000008</c:v>
                </c:pt>
              </c:numCache>
            </c:numRef>
          </c:xVal>
          <c:yVal>
            <c:numRef>
              <c:f>'Table for Graphs'!$DS$8:$DS$28</c:f>
              <c:numCache>
                <c:formatCode>General</c:formatCode>
                <c:ptCount val="21"/>
                <c:pt idx="0">
                  <c:v>28.810434522410624</c:v>
                </c:pt>
                <c:pt idx="1">
                  <c:v>26.729230787000198</c:v>
                </c:pt>
                <c:pt idx="2">
                  <c:v>24.690228320419639</c:v>
                </c:pt>
                <c:pt idx="3">
                  <c:v>22.817167015082266</c:v>
                </c:pt>
                <c:pt idx="4">
                  <c:v>21.122787075882062</c:v>
                </c:pt>
                <c:pt idx="5">
                  <c:v>19.585184742766224</c:v>
                </c:pt>
                <c:pt idx="6">
                  <c:v>18.175521099431212</c:v>
                </c:pt>
                <c:pt idx="7">
                  <c:v>16.866918200079592</c:v>
                </c:pt>
                <c:pt idx="8">
                  <c:v>15.636655404038109</c:v>
                </c:pt>
                <c:pt idx="9">
                  <c:v>14.466150627640699</c:v>
                </c:pt>
                <c:pt idx="10">
                  <c:v>13.340323121032513</c:v>
                </c:pt>
                <c:pt idx="11">
                  <c:v>12.246880084146909</c:v>
                </c:pt>
                <c:pt idx="12">
                  <c:v>11.175690855040754</c:v>
                </c:pt>
                <c:pt idx="13">
                  <c:v>10.118280492763679</c:v>
                </c:pt>
                <c:pt idx="14">
                  <c:v>9.0674323289029477</c:v>
                </c:pt>
                <c:pt idx="15">
                  <c:v>8.0168787706118003</c:v>
                </c:pt>
                <c:pt idx="16">
                  <c:v>6.9610600386146935</c:v>
                </c:pt>
                <c:pt idx="17">
                  <c:v>5.8949338767118764</c:v>
                </c:pt>
                <c:pt idx="18">
                  <c:v>4.813822886792507</c:v>
                </c:pt>
                <c:pt idx="19">
                  <c:v>3.7132892094319718</c:v>
                </c:pt>
                <c:pt idx="20">
                  <c:v>2.5890286370313196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ED-4DDE-BB1C-42E747C85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7850080"/>
        <c:axId val="1"/>
      </c:scatterChart>
      <c:valAx>
        <c:axId val="297850080"/>
        <c:scaling>
          <c:orientation val="minMax"/>
          <c:max val="1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inorUnit val="0.1"/>
      </c:valAx>
      <c:valAx>
        <c:axId val="1"/>
        <c:scaling>
          <c:orientation val="minMax"/>
          <c:max val="3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7850080"/>
        <c:crosses val="autoZero"/>
        <c:crossBetween val="midCat"/>
        <c:majorUnit val="10"/>
        <c:min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29107589658047"/>
          <c:y val="5.0408719346049055E-2"/>
          <c:w val="0.81651376146788979"/>
          <c:h val="0.7397820163487739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'Table for Graphs'!$V$8:$V$26</c:f>
              <c:numCache>
                <c:formatCode>General</c:formatCode>
                <c:ptCount val="19"/>
                <c:pt idx="0">
                  <c:v>0.28284271247461906</c:v>
                </c:pt>
                <c:pt idx="1">
                  <c:v>0.30604443448500163</c:v>
                </c:pt>
                <c:pt idx="2">
                  <c:v>0.32924615649538425</c:v>
                </c:pt>
                <c:pt idx="3">
                  <c:v>0.35244787850576681</c:v>
                </c:pt>
                <c:pt idx="4">
                  <c:v>0.37564960051614937</c:v>
                </c:pt>
                <c:pt idx="5">
                  <c:v>0.39885132252653199</c:v>
                </c:pt>
                <c:pt idx="6">
                  <c:v>0.42205304453691456</c:v>
                </c:pt>
                <c:pt idx="7">
                  <c:v>0.44525476654729718</c:v>
                </c:pt>
                <c:pt idx="8">
                  <c:v>0.46845648855767974</c:v>
                </c:pt>
                <c:pt idx="9">
                  <c:v>0.4916582105680623</c:v>
                </c:pt>
                <c:pt idx="10">
                  <c:v>0.51485993257844487</c:v>
                </c:pt>
                <c:pt idx="11">
                  <c:v>0.53806165458882749</c:v>
                </c:pt>
                <c:pt idx="12">
                  <c:v>0.56126337659921011</c:v>
                </c:pt>
                <c:pt idx="13">
                  <c:v>0.58446509860959273</c:v>
                </c:pt>
                <c:pt idx="14">
                  <c:v>0.60766682061997523</c:v>
                </c:pt>
                <c:pt idx="15">
                  <c:v>0.63086854263035774</c:v>
                </c:pt>
                <c:pt idx="16">
                  <c:v>0.65407026464074036</c:v>
                </c:pt>
                <c:pt idx="17">
                  <c:v>0.67727198665112309</c:v>
                </c:pt>
                <c:pt idx="18">
                  <c:v>0.7004737086615056</c:v>
                </c:pt>
              </c:numCache>
            </c:numRef>
          </c:xVal>
          <c:yVal>
            <c:numRef>
              <c:f>'Table for Graphs'!$U$8:$U$26</c:f>
              <c:numCache>
                <c:formatCode>General</c:formatCode>
                <c:ptCount val="19"/>
                <c:pt idx="0">
                  <c:v>0</c:v>
                </c:pt>
                <c:pt idx="1">
                  <c:v>1.284542212243478E-2</c:v>
                </c:pt>
                <c:pt idx="2">
                  <c:v>2.5249951328031539E-2</c:v>
                </c:pt>
                <c:pt idx="3">
                  <c:v>3.7155030386602395E-2</c:v>
                </c:pt>
                <c:pt idx="4">
                  <c:v>4.8508470196511499E-2</c:v>
                </c:pt>
                <c:pt idx="5">
                  <c:v>5.9264057259794889E-2</c:v>
                </c:pt>
                <c:pt idx="6">
                  <c:v>6.9381024512989331E-2</c:v>
                </c:pt>
                <c:pt idx="7">
                  <c:v>7.8823413246458696E-2</c:v>
                </c:pt>
                <c:pt idx="8">
                  <c:v>8.7559358540993948E-2</c:v>
                </c:pt>
                <c:pt idx="9">
                  <c:v>9.5560334140690095E-2</c:v>
                </c:pt>
                <c:pt idx="10">
                  <c:v>0.1028003947666325</c:v>
                </c:pt>
                <c:pt idx="11">
                  <c:v>0.10925545442488449</c:v>
                </c:pt>
                <c:pt idx="12">
                  <c:v>0.11490263821367019</c:v>
                </c:pt>
                <c:pt idx="13">
                  <c:v>0.11971974249725648</c:v>
                </c:pt>
                <c:pt idx="14">
                  <c:v>0.12368483416180798</c:v>
                </c:pt>
                <c:pt idx="15">
                  <c:v>0.12677601413391271</c:v>
                </c:pt>
                <c:pt idx="16">
                  <c:v>0.12897136361060513</c:v>
                </c:pt>
                <c:pt idx="17">
                  <c:v>0.13024908375250988</c:v>
                </c:pt>
                <c:pt idx="18">
                  <c:v>0.13058783120411777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59-44A9-99A5-45890A23D79F}"/>
            </c:ext>
          </c:extLst>
        </c:ser>
        <c:ser>
          <c:idx val="1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'Table for Graphs'!$AP$8:$AP$28</c:f>
              <c:numCache>
                <c:formatCode>General</c:formatCode>
                <c:ptCount val="21"/>
                <c:pt idx="0">
                  <c:v>0.46213203435596428</c:v>
                </c:pt>
                <c:pt idx="1">
                  <c:v>0.48981518106513677</c:v>
                </c:pt>
                <c:pt idx="2">
                  <c:v>0.51749832777430926</c:v>
                </c:pt>
                <c:pt idx="3">
                  <c:v>0.54518147448348175</c:v>
                </c:pt>
                <c:pt idx="4">
                  <c:v>0.57286462119265424</c:v>
                </c:pt>
                <c:pt idx="5">
                  <c:v>0.60054776790182673</c:v>
                </c:pt>
                <c:pt idx="6">
                  <c:v>0.62823091461099911</c:v>
                </c:pt>
                <c:pt idx="7">
                  <c:v>0.6559140613201716</c:v>
                </c:pt>
                <c:pt idx="8">
                  <c:v>0.68359720802934421</c:v>
                </c:pt>
                <c:pt idx="9">
                  <c:v>0.7112803547385167</c:v>
                </c:pt>
                <c:pt idx="10">
                  <c:v>0.73896350144768919</c:v>
                </c:pt>
                <c:pt idx="11">
                  <c:v>0.76664664815686157</c:v>
                </c:pt>
                <c:pt idx="12">
                  <c:v>0.79432979486603406</c:v>
                </c:pt>
                <c:pt idx="13">
                  <c:v>0.82201294157520655</c:v>
                </c:pt>
                <c:pt idx="14">
                  <c:v>0.84969608828437915</c:v>
                </c:pt>
                <c:pt idx="15">
                  <c:v>0.87737923499355164</c:v>
                </c:pt>
                <c:pt idx="16">
                  <c:v>0.90506238170272413</c:v>
                </c:pt>
                <c:pt idx="17">
                  <c:v>0.93274552841189673</c:v>
                </c:pt>
                <c:pt idx="18">
                  <c:v>0.960428675121069</c:v>
                </c:pt>
                <c:pt idx="19">
                  <c:v>0.98811182183024171</c:v>
                </c:pt>
                <c:pt idx="20">
                  <c:v>1.0157949685394141</c:v>
                </c:pt>
              </c:numCache>
            </c:numRef>
          </c:xVal>
          <c:yVal>
            <c:numRef>
              <c:f>'Table for Graphs'!$AO$8:$AO$28</c:f>
              <c:numCache>
                <c:formatCode>General</c:formatCode>
                <c:ptCount val="21"/>
                <c:pt idx="0">
                  <c:v>0</c:v>
                </c:pt>
                <c:pt idx="1">
                  <c:v>1.1707079566291245E-2</c:v>
                </c:pt>
                <c:pt idx="2">
                  <c:v>2.2844379907316359E-2</c:v>
                </c:pt>
                <c:pt idx="3">
                  <c:v>3.3407310676884627E-2</c:v>
                </c:pt>
                <c:pt idx="4">
                  <c:v>4.3393716651572767E-2</c:v>
                </c:pt>
                <c:pt idx="5">
                  <c:v>5.2803277254360736E-2</c:v>
                </c:pt>
                <c:pt idx="6">
                  <c:v>6.1636888000778267E-2</c:v>
                </c:pt>
                <c:pt idx="7">
                  <c:v>6.9896038413714834E-2</c:v>
                </c:pt>
                <c:pt idx="8">
                  <c:v>7.7582201176205956E-2</c:v>
                </c:pt>
                <c:pt idx="9">
                  <c:v>8.4696247171454964E-2</c:v>
                </c:pt>
                <c:pt idx="10">
                  <c:v>9.1237900614878686E-2</c:v>
                </c:pt>
                <c:pt idx="11">
                  <c:v>9.7205247739393652E-2</c:v>
                </c:pt>
                <c:pt idx="12">
                  <c:v>0.1025943114806811</c:v>
                </c:pt>
                <c:pt idx="13">
                  <c:v>0.10739870335204138</c:v>
                </c:pt>
                <c:pt idx="14">
                  <c:v>0.11160936222417472</c:v>
                </c:pt>
                <c:pt idx="15">
                  <c:v>0.11521438805558937</c:v>
                </c:pt>
                <c:pt idx="16">
                  <c:v>0.11819897677172264</c:v>
                </c:pt>
                <c:pt idx="17">
                  <c:v>0.12054546047961834</c:v>
                </c:pt>
                <c:pt idx="18">
                  <c:v>0.12223345504323113</c:v>
                </c:pt>
                <c:pt idx="19">
                  <c:v>0.1232401147471367</c:v>
                </c:pt>
                <c:pt idx="20">
                  <c:v>0.12354049136419709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59-44A9-99A5-45890A23D79F}"/>
            </c:ext>
          </c:extLst>
        </c:ser>
        <c:ser>
          <c:idx val="2"/>
          <c:order val="2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'Table for Graphs'!$BJ$8:$BJ$28</c:f>
              <c:numCache>
                <c:formatCode>General</c:formatCode>
                <c:ptCount val="21"/>
                <c:pt idx="0">
                  <c:v>0.64142135623730945</c:v>
                </c:pt>
                <c:pt idx="1">
                  <c:v>0.68237694004238936</c:v>
                </c:pt>
                <c:pt idx="2">
                  <c:v>0.72333252384746938</c:v>
                </c:pt>
                <c:pt idx="3">
                  <c:v>0.76428810765254929</c:v>
                </c:pt>
                <c:pt idx="4">
                  <c:v>0.8052436914576292</c:v>
                </c:pt>
                <c:pt idx="5">
                  <c:v>0.84619927526270922</c:v>
                </c:pt>
                <c:pt idx="6">
                  <c:v>0.88715485906778913</c:v>
                </c:pt>
                <c:pt idx="7">
                  <c:v>0.92811044287286903</c:v>
                </c:pt>
                <c:pt idx="8">
                  <c:v>0.96906602667794906</c:v>
                </c:pt>
                <c:pt idx="9">
                  <c:v>1.0100216104830289</c:v>
                </c:pt>
                <c:pt idx="10">
                  <c:v>1.050977194288109</c:v>
                </c:pt>
                <c:pt idx="11">
                  <c:v>1.0919327780931889</c:v>
                </c:pt>
                <c:pt idx="12">
                  <c:v>1.1328883618982688</c:v>
                </c:pt>
                <c:pt idx="13">
                  <c:v>1.1738439457033487</c:v>
                </c:pt>
                <c:pt idx="14">
                  <c:v>1.2147995295084288</c:v>
                </c:pt>
                <c:pt idx="15">
                  <c:v>1.2557551133135088</c:v>
                </c:pt>
                <c:pt idx="16">
                  <c:v>1.2967106971185887</c:v>
                </c:pt>
                <c:pt idx="17">
                  <c:v>1.3376662809236688</c:v>
                </c:pt>
                <c:pt idx="18">
                  <c:v>1.3786218647287487</c:v>
                </c:pt>
                <c:pt idx="19">
                  <c:v>1.4195774485338286</c:v>
                </c:pt>
                <c:pt idx="20">
                  <c:v>1.4605330323389085</c:v>
                </c:pt>
              </c:numCache>
            </c:numRef>
          </c:xVal>
          <c:yVal>
            <c:numRef>
              <c:f>'Table for Graphs'!$BI$8:$BI$28</c:f>
              <c:numCache>
                <c:formatCode>General</c:formatCode>
                <c:ptCount val="21"/>
                <c:pt idx="0">
                  <c:v>0</c:v>
                </c:pt>
                <c:pt idx="1">
                  <c:v>1.365071178830024E-2</c:v>
                </c:pt>
                <c:pt idx="2">
                  <c:v>2.6418553814734791E-2</c:v>
                </c:pt>
                <c:pt idx="3">
                  <c:v>3.834089504317939E-2</c:v>
                </c:pt>
                <c:pt idx="4">
                  <c:v>4.9456486251654663E-2</c:v>
                </c:pt>
                <c:pt idx="5">
                  <c:v>5.9803426848316299E-2</c:v>
                </c:pt>
                <c:pt idx="6">
                  <c:v>6.9417182142209599E-2</c:v>
                </c:pt>
                <c:pt idx="7">
                  <c:v>7.8328702540018114E-2</c:v>
                </c:pt>
                <c:pt idx="8">
                  <c:v>8.6562692737617519E-2</c:v>
                </c:pt>
                <c:pt idx="9">
                  <c:v>9.4136074820237337E-2</c:v>
                </c:pt>
                <c:pt idx="10">
                  <c:v>0.10105668459393757</c:v>
                </c:pt>
                <c:pt idx="11">
                  <c:v>0.10732223567426602</c:v>
                </c:pt>
                <c:pt idx="12">
                  <c:v>0.11291958097483845</c:v>
                </c:pt>
                <c:pt idx="13">
                  <c:v>0.11782429626823365</c:v>
                </c:pt>
                <c:pt idx="14">
                  <c:v>0.12200060531805956</c:v>
                </c:pt>
                <c:pt idx="15">
                  <c:v>0.12540166049378931</c:v>
                </c:pt>
                <c:pt idx="16">
                  <c:v>0.12797018650803826</c:v>
                </c:pt>
                <c:pt idx="17">
                  <c:v>0.12963948767496114</c:v>
                </c:pt>
                <c:pt idx="18">
                  <c:v>0.13033481063787389</c:v>
                </c:pt>
                <c:pt idx="19">
                  <c:v>0.12997504472178689</c:v>
                </c:pt>
                <c:pt idx="20">
                  <c:v>0.12847473097270412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659-44A9-99A5-45890A23D79F}"/>
            </c:ext>
          </c:extLst>
        </c:ser>
        <c:ser>
          <c:idx val="3"/>
          <c:order val="3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'Table for Graphs'!$CD$8:$CD$28</c:f>
              <c:numCache>
                <c:formatCode>General</c:formatCode>
                <c:ptCount val="21"/>
                <c:pt idx="0">
                  <c:v>0.82071067811865483</c:v>
                </c:pt>
                <c:pt idx="1">
                  <c:v>0.8737847068534409</c:v>
                </c:pt>
                <c:pt idx="2">
                  <c:v>0.92685873558822696</c:v>
                </c:pt>
                <c:pt idx="3">
                  <c:v>0.97993276432301302</c:v>
                </c:pt>
                <c:pt idx="4">
                  <c:v>1.0330067930577991</c:v>
                </c:pt>
                <c:pt idx="5">
                  <c:v>1.0860808217925852</c:v>
                </c:pt>
                <c:pt idx="6">
                  <c:v>1.1391548505273714</c:v>
                </c:pt>
                <c:pt idx="7">
                  <c:v>1.1922288792621576</c:v>
                </c:pt>
                <c:pt idx="8">
                  <c:v>1.2453029079969435</c:v>
                </c:pt>
                <c:pt idx="9">
                  <c:v>1.2983769367317297</c:v>
                </c:pt>
                <c:pt idx="10">
                  <c:v>1.3514509654665157</c:v>
                </c:pt>
                <c:pt idx="11">
                  <c:v>1.4045249942013018</c:v>
                </c:pt>
                <c:pt idx="12">
                  <c:v>1.4575990229360878</c:v>
                </c:pt>
                <c:pt idx="13">
                  <c:v>1.510673051670874</c:v>
                </c:pt>
                <c:pt idx="14">
                  <c:v>1.5637470804056599</c:v>
                </c:pt>
                <c:pt idx="15">
                  <c:v>1.6168211091404461</c:v>
                </c:pt>
                <c:pt idx="16">
                  <c:v>1.6698951378752322</c:v>
                </c:pt>
                <c:pt idx="17">
                  <c:v>1.7229691666100182</c:v>
                </c:pt>
                <c:pt idx="18">
                  <c:v>1.7760431953448044</c:v>
                </c:pt>
                <c:pt idx="19">
                  <c:v>1.8291172240795903</c:v>
                </c:pt>
                <c:pt idx="20">
                  <c:v>1.8821912528143765</c:v>
                </c:pt>
              </c:numCache>
            </c:numRef>
          </c:xVal>
          <c:yVal>
            <c:numRef>
              <c:f>'Table for Graphs'!$CC$8:$CC$28</c:f>
              <c:numCache>
                <c:formatCode>General</c:formatCode>
                <c:ptCount val="21"/>
                <c:pt idx="0">
                  <c:v>0</c:v>
                </c:pt>
                <c:pt idx="1">
                  <c:v>1.3959617475495234E-2</c:v>
                </c:pt>
                <c:pt idx="2">
                  <c:v>2.6896258126786643E-2</c:v>
                </c:pt>
                <c:pt idx="3">
                  <c:v>3.8917710853347609E-2</c:v>
                </c:pt>
                <c:pt idx="4">
                  <c:v>5.0128647993508801E-2</c:v>
                </c:pt>
                <c:pt idx="5">
                  <c:v>6.0626605215907459E-2</c:v>
                </c:pt>
                <c:pt idx="6">
                  <c:v>7.0498200761968777E-2</c:v>
                </c:pt>
                <c:pt idx="7">
                  <c:v>7.9815679649402504E-2</c:v>
                </c:pt>
                <c:pt idx="8">
                  <c:v>8.8633854780481025E-2</c:v>
                </c:pt>
                <c:pt idx="9">
                  <c:v>9.6987505019992426E-2</c:v>
                </c:pt>
                <c:pt idx="10">
                  <c:v>0.104889281062027</c:v>
                </c:pt>
                <c:pt idx="11">
                  <c:v>0.11232816358224551</c:v>
                </c:pt>
                <c:pt idx="12">
                  <c:v>0.11926851450744369</c:v>
                </c:pt>
                <c:pt idx="13">
                  <c:v>0.12564976043876808</c:v>
                </c:pt>
                <c:pt idx="14">
                  <c:v>0.13138674608332535</c:v>
                </c:pt>
                <c:pt idx="15">
                  <c:v>0.13637079333749935</c:v>
                </c:pt>
                <c:pt idx="16">
                  <c:v>0.14047149650843749</c:v>
                </c:pt>
                <c:pt idx="17">
                  <c:v>0.14353927404460931</c:v>
                </c:pt>
                <c:pt idx="18">
                  <c:v>0.14540868021590581</c:v>
                </c:pt>
                <c:pt idx="19">
                  <c:v>0.14590245508611521</c:v>
                </c:pt>
                <c:pt idx="20">
                  <c:v>0.14483625742835837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659-44A9-99A5-45890A23D79F}"/>
            </c:ext>
          </c:extLst>
        </c:ser>
        <c:ser>
          <c:idx val="4"/>
          <c:order val="4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'Table for Graphs'!$CX$8:$CX$28</c:f>
              <c:numCache>
                <c:formatCode>General</c:formatCode>
                <c:ptCount val="21"/>
                <c:pt idx="0">
                  <c:v>1</c:v>
                </c:pt>
                <c:pt idx="1">
                  <c:v>1.0667910967293324</c:v>
                </c:pt>
                <c:pt idx="2">
                  <c:v>1.1335821934586645</c:v>
                </c:pt>
                <c:pt idx="3">
                  <c:v>1.2003732901879969</c:v>
                </c:pt>
                <c:pt idx="4">
                  <c:v>1.267164386917329</c:v>
                </c:pt>
                <c:pt idx="5">
                  <c:v>1.3339554836466614</c:v>
                </c:pt>
                <c:pt idx="6">
                  <c:v>1.4007465803759935</c:v>
                </c:pt>
                <c:pt idx="7">
                  <c:v>1.4675376771053259</c:v>
                </c:pt>
                <c:pt idx="8">
                  <c:v>1.534328773834658</c:v>
                </c:pt>
                <c:pt idx="9">
                  <c:v>1.6011198705639904</c:v>
                </c:pt>
                <c:pt idx="10">
                  <c:v>1.6679109672933226</c:v>
                </c:pt>
                <c:pt idx="11">
                  <c:v>1.7347020640226549</c:v>
                </c:pt>
                <c:pt idx="12">
                  <c:v>1.8014931607519871</c:v>
                </c:pt>
                <c:pt idx="13">
                  <c:v>1.8682842574813194</c:v>
                </c:pt>
                <c:pt idx="14">
                  <c:v>1.9350753542106518</c:v>
                </c:pt>
                <c:pt idx="15">
                  <c:v>2.0018664509399837</c:v>
                </c:pt>
                <c:pt idx="16">
                  <c:v>2.0686575476693161</c:v>
                </c:pt>
                <c:pt idx="17">
                  <c:v>2.1354486443986485</c:v>
                </c:pt>
                <c:pt idx="18">
                  <c:v>2.2022397411279808</c:v>
                </c:pt>
                <c:pt idx="19">
                  <c:v>2.2690308378573132</c:v>
                </c:pt>
                <c:pt idx="20">
                  <c:v>2.3358219345866456</c:v>
                </c:pt>
              </c:numCache>
            </c:numRef>
          </c:xVal>
          <c:yVal>
            <c:numRef>
              <c:f>'Table for Graphs'!$CW$8:$CW$28</c:f>
              <c:numCache>
                <c:formatCode>General</c:formatCode>
                <c:ptCount val="21"/>
                <c:pt idx="0">
                  <c:v>0</c:v>
                </c:pt>
                <c:pt idx="1">
                  <c:v>1.3334885059522961E-2</c:v>
                </c:pt>
                <c:pt idx="2">
                  <c:v>2.559842952651481E-2</c:v>
                </c:pt>
                <c:pt idx="3">
                  <c:v>3.7018278962719586E-2</c:v>
                </c:pt>
                <c:pt idx="4">
                  <c:v>4.7808841972110327E-2</c:v>
                </c:pt>
                <c:pt idx="5">
                  <c:v>5.8163829205955198E-2</c:v>
                </c:pt>
                <c:pt idx="6">
                  <c:v>6.8249514084884444E-2</c:v>
                </c:pt>
                <c:pt idx="7">
                  <c:v>7.8198805673629579E-2</c:v>
                </c:pt>
                <c:pt idx="8">
                  <c:v>8.810618619171029E-2</c:v>
                </c:pt>
                <c:pt idx="9">
                  <c:v>9.802354336076835E-2</c:v>
                </c:pt>
                <c:pt idx="10">
                  <c:v>0.10795692184896333</c:v>
                </c:pt>
                <c:pt idx="11">
                  <c:v>0.11786422742636971</c:v>
                </c:pt>
                <c:pt idx="12">
                  <c:v>0.1276539396376839</c:v>
                </c:pt>
                <c:pt idx="13">
                  <c:v>0.1371849200714248</c:v>
                </c:pt>
                <c:pt idx="14">
                  <c:v>0.1462674384619238</c:v>
                </c:pt>
                <c:pt idx="15">
                  <c:v>0.15466557097718114</c:v>
                </c:pt>
                <c:pt idx="16">
                  <c:v>0.1621011452176897</c:v>
                </c:pt>
                <c:pt idx="17">
                  <c:v>0.16825940390022431</c:v>
                </c:pt>
                <c:pt idx="18">
                  <c:v>0.17279652215005714</c:v>
                </c:pt>
                <c:pt idx="19">
                  <c:v>0.17534903105601374</c:v>
                </c:pt>
                <c:pt idx="20">
                  <c:v>0.17554506641495426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659-44A9-99A5-45890A23D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7850408"/>
        <c:axId val="1"/>
      </c:scatterChart>
      <c:valAx>
        <c:axId val="297850408"/>
        <c:scaling>
          <c:orientation val="minMax"/>
          <c:max val="2.5"/>
          <c:min val="0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1"/>
        <c:minorUnit val="0.5"/>
      </c:valAx>
      <c:valAx>
        <c:axId val="1"/>
        <c:scaling>
          <c:orientation val="minMax"/>
          <c:max val="0.2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7850408"/>
        <c:crosses val="autoZero"/>
        <c:crossBetween val="midCat"/>
        <c:majorUnit val="0.1"/>
        <c:min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1"/>
  <sheetViews>
    <sheetView zoomScale="114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Diagramm2"/>
  <sheetViews>
    <sheetView zoomScale="114"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007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29435F-5A84-4218-A55D-52FC38A1378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0.79675</cdr:x>
      <cdr:y>0.939</cdr:y>
    </cdr:from>
    <cdr:to>
      <cdr:x>0.88125</cdr:x>
      <cdr:y>0.939</cdr:y>
    </cdr:to>
    <cdr:sp macro="" textlink="">
      <cdr:nvSpPr>
        <cdr:cNvPr id="39937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279411" y="5251902"/>
          <a:ext cx="77202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lg" len="lg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0.032</cdr:x>
      <cdr:y>0.1625</cdr:y>
    </cdr:from>
    <cdr:to>
      <cdr:x>0.032</cdr:x>
      <cdr:y>0.2775</cdr:y>
    </cdr:to>
    <cdr:sp macro="" textlink="">
      <cdr:nvSpPr>
        <cdr:cNvPr id="39938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92364" y="908876"/>
          <a:ext cx="0" cy="6432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lg" len="lg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0.69725</cdr:x>
      <cdr:y>0.89675</cdr:y>
    </cdr:from>
    <cdr:to>
      <cdr:x>0.74661</cdr:x>
      <cdr:y>0.96638</cdr:y>
    </cdr:to>
    <cdr:sp macro="" textlink="">
      <cdr:nvSpPr>
        <cdr:cNvPr id="399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75654" y="5022428"/>
          <a:ext cx="451342" cy="3899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6858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2175" b="0" i="1" u="none" strike="noStrike" baseline="-25000">
              <a:solidFill>
                <a:srgbClr val="000000"/>
              </a:solidFill>
              <a:latin typeface="Times New Roman"/>
              <a:cs typeface="Times New Roman"/>
            </a:rPr>
            <a:t>T</a:t>
          </a:r>
          <a:r>
            <a:rPr lang="de-DE" sz="2175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x</a:t>
          </a:r>
          <a:r>
            <a:rPr lang="de-DE" sz="2175" b="0" i="0" u="none" strike="noStrike" baseline="-25000">
              <a:solidFill>
                <a:srgbClr val="000000"/>
              </a:solidFill>
              <a:latin typeface="Times New Roman"/>
              <a:cs typeface="Times New Roman"/>
            </a:rPr>
            <a:t>3</a:t>
          </a:r>
          <a:r>
            <a:rPr lang="de-DE" sz="2175" b="0" i="1" u="none" strike="noStrike" baseline="-25000">
              <a:solidFill>
                <a:srgbClr val="000000"/>
              </a:solidFill>
              <a:latin typeface="Times New Roman"/>
              <a:cs typeface="Times New Roman"/>
            </a:rPr>
            <a:t>L</a:t>
          </a:r>
        </a:p>
      </cdr:txBody>
    </cdr:sp>
  </cdr:relSizeAnchor>
  <cdr:relSizeAnchor xmlns:cdr="http://schemas.openxmlformats.org/drawingml/2006/chartDrawing">
    <cdr:from>
      <cdr:x>0.01298</cdr:x>
      <cdr:y>0.27963</cdr:y>
    </cdr:from>
    <cdr:to>
      <cdr:x>0.06239</cdr:x>
      <cdr:y>0.40482</cdr:y>
    </cdr:to>
    <cdr:sp macro="" textlink="">
      <cdr:nvSpPr>
        <cdr:cNvPr id="3994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0900" y="1557421"/>
          <a:ext cx="460626" cy="7018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54864" tIns="128016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2175" b="0" i="1" u="none" strike="noStrike" baseline="0">
              <a:solidFill>
                <a:srgbClr val="000000"/>
              </a:solidFill>
              <a:latin typeface="Euclid Symbol"/>
            </a:rPr>
            <a:t>a</a:t>
          </a:r>
          <a:r>
            <a:rPr lang="de-DE" sz="2175" b="0" i="0" u="none" strike="noStrike" baseline="-25000">
              <a:solidFill>
                <a:srgbClr val="000000"/>
              </a:solidFill>
              <a:latin typeface="Times New Roman"/>
              <a:cs typeface="Times New Roman"/>
            </a:rPr>
            <a:t>0</a:t>
          </a:r>
        </a:p>
      </cdr:txBody>
    </cdr:sp>
  </cdr:relSizeAnchor>
  <cdr:relSizeAnchor xmlns:cdr="http://schemas.openxmlformats.org/drawingml/2006/chartDrawing">
    <cdr:from>
      <cdr:x>0.00293</cdr:x>
      <cdr:y>0.37734</cdr:y>
    </cdr:from>
    <cdr:to>
      <cdr:x>0.07143</cdr:x>
      <cdr:y>0.44534</cdr:y>
    </cdr:to>
    <cdr:sp macro="" textlink="">
      <cdr:nvSpPr>
        <cdr:cNvPr id="3994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" y="2105487"/>
          <a:ext cx="639612" cy="3804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54864" tIns="5029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217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Deg</a:t>
          </a:r>
        </a:p>
      </cdr:txBody>
    </cdr:sp>
  </cdr:relSizeAnchor>
  <cdr:relSizeAnchor xmlns:cdr="http://schemas.openxmlformats.org/drawingml/2006/chartDrawing">
    <cdr:from>
      <cdr:x>0.01079</cdr:x>
      <cdr:y>0.38595</cdr:y>
    </cdr:from>
    <cdr:to>
      <cdr:x>0.05754</cdr:x>
      <cdr:y>0.38595</cdr:y>
    </cdr:to>
    <cdr:sp macro="" textlink="">
      <cdr:nvSpPr>
        <cdr:cNvPr id="39942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00847" y="2152276"/>
          <a:ext cx="43630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0.3165</cdr:x>
      <cdr:y>0.89775</cdr:y>
    </cdr:from>
    <cdr:to>
      <cdr:x>0.33</cdr:x>
      <cdr:y>0.96675</cdr:y>
    </cdr:to>
    <cdr:sp macro="" textlink="">
      <cdr:nvSpPr>
        <cdr:cNvPr id="3994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09937" y="5016993"/>
          <a:ext cx="121057" cy="3887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007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17A739-5C4F-4B47-80E2-8A268E5711A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0.80875</cdr:x>
      <cdr:y>0.92725</cdr:y>
    </cdr:from>
    <cdr:to>
      <cdr:x>0.88575</cdr:x>
      <cdr:y>0.92725</cdr:y>
    </cdr:to>
    <cdr:sp macro="" textlink="">
      <cdr:nvSpPr>
        <cdr:cNvPr id="102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421025" y="5197370"/>
          <a:ext cx="70121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lg" len="lg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0.0475</cdr:x>
      <cdr:y>0.18925</cdr:y>
    </cdr:from>
    <cdr:to>
      <cdr:x>0.0475</cdr:x>
      <cdr:y>0.299</cdr:y>
    </cdr:to>
    <cdr:sp macro="" textlink="">
      <cdr:nvSpPr>
        <cdr:cNvPr id="102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54535" y="1076668"/>
          <a:ext cx="0" cy="6166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lg" len="lg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</cdr:x>
      <cdr:y>0.29975</cdr:y>
    </cdr:from>
    <cdr:to>
      <cdr:x>0.1355</cdr:x>
      <cdr:y>0.3945</cdr:y>
    </cdr:to>
    <cdr:sp macro="" textlink="">
      <cdr:nvSpPr>
        <cdr:cNvPr id="10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1697500"/>
          <a:ext cx="1301934" cy="5327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6858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2175" b="0" i="1" u="none" strike="noStrike" baseline="-25000">
              <a:solidFill>
                <a:srgbClr val="000000"/>
              </a:solidFill>
              <a:latin typeface="Times New Roman"/>
              <a:cs typeface="Times New Roman"/>
            </a:rPr>
            <a:t>T</a:t>
          </a:r>
          <a:r>
            <a:rPr lang="de-DE" sz="2175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x</a:t>
          </a:r>
          <a:r>
            <a:rPr lang="de-DE" sz="2175" b="0" i="0" u="none" strike="noStrike" baseline="-25000">
              <a:solidFill>
                <a:srgbClr val="000000"/>
              </a:solidFill>
              <a:latin typeface="Times New Roman"/>
              <a:cs typeface="Times New Roman"/>
            </a:rPr>
            <a:t>1</a:t>
          </a:r>
          <a:r>
            <a:rPr lang="de-DE" sz="2175" b="0" i="1" u="none" strike="noStrike" baseline="-2500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de-DE" sz="217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-</a:t>
          </a:r>
          <a:r>
            <a:rPr lang="de-DE" sz="2175" b="0" i="1" u="none" strike="noStrike" baseline="-25000">
              <a:solidFill>
                <a:srgbClr val="000000"/>
              </a:solidFill>
              <a:latin typeface="Times New Roman"/>
              <a:cs typeface="Times New Roman"/>
            </a:rPr>
            <a:t>T</a:t>
          </a:r>
          <a:r>
            <a:rPr lang="de-DE" sz="2175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x</a:t>
          </a:r>
          <a:r>
            <a:rPr lang="de-DE" sz="2175" b="0" i="0" u="none" strike="noStrike" baseline="-2500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0.70225</cdr:x>
      <cdr:y>0.88875</cdr:y>
    </cdr:from>
    <cdr:to>
      <cdr:x>0.74796</cdr:x>
      <cdr:y>0.95508</cdr:y>
    </cdr:to>
    <cdr:sp macro="" textlink="">
      <cdr:nvSpPr>
        <cdr:cNvPr id="10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21374" y="4977622"/>
          <a:ext cx="418000" cy="371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45720" tIns="5029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2175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arc</a:t>
          </a:r>
        </a:p>
      </cdr:txBody>
    </cdr:sp>
  </cdr:relSizeAnchor>
  <cdr:relSizeAnchor xmlns:cdr="http://schemas.openxmlformats.org/drawingml/2006/chartDrawing">
    <cdr:from>
      <cdr:x>0.32625</cdr:x>
      <cdr:y>0.875</cdr:y>
    </cdr:from>
    <cdr:to>
      <cdr:x>0.33975</cdr:x>
      <cdr:y>0.9465</cdr:y>
    </cdr:to>
    <cdr:sp macro="" textlink="">
      <cdr:nvSpPr>
        <cdr:cNvPr id="10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35562" y="4912123"/>
          <a:ext cx="121057" cy="3887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BW48"/>
  <sheetViews>
    <sheetView tabSelected="1" zoomScale="105" zoomScaleNormal="100" workbookViewId="0"/>
  </sheetViews>
  <sheetFormatPr defaultColWidth="11.7109375" defaultRowHeight="0" customHeight="1" zeroHeight="1"/>
  <cols>
    <col min="1" max="12" width="11.7109375" style="14" customWidth="1"/>
    <col min="13" max="17" width="11.7109375" style="43" customWidth="1"/>
    <col min="18" max="18" width="11.7109375" style="14" customWidth="1"/>
    <col min="19" max="40" width="11.7109375" style="1" customWidth="1"/>
    <col min="41" max="16384" width="11.7109375" style="14"/>
  </cols>
  <sheetData>
    <row r="1" spans="1:75" s="1" customFormat="1" ht="24" customHeight="1">
      <c r="A1" s="44"/>
      <c r="B1" s="187" t="s">
        <v>64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28"/>
      <c r="N1" s="128"/>
      <c r="O1" s="4"/>
      <c r="P1" s="4"/>
      <c r="Q1" s="5"/>
      <c r="U1" s="6"/>
      <c r="W1" s="7"/>
      <c r="X1" s="7"/>
      <c r="AD1" s="8"/>
      <c r="AE1" s="9"/>
      <c r="AF1" s="9"/>
      <c r="AG1" s="7"/>
      <c r="AH1" s="7"/>
      <c r="AN1" s="8"/>
      <c r="AO1" s="9"/>
      <c r="AP1" s="9"/>
      <c r="AQ1" s="7"/>
      <c r="AR1" s="7"/>
      <c r="AX1" s="8"/>
      <c r="AY1" s="9"/>
      <c r="AZ1" s="9"/>
      <c r="BA1" s="7"/>
      <c r="BB1" s="7"/>
      <c r="BH1" s="8"/>
      <c r="BI1" s="9"/>
      <c r="BJ1" s="9"/>
      <c r="BK1" s="7"/>
      <c r="BL1" s="7"/>
      <c r="BR1" s="8"/>
      <c r="BS1" s="9"/>
      <c r="BT1" s="9"/>
    </row>
    <row r="2" spans="1:75" s="1" customFormat="1" ht="24" customHeight="1">
      <c r="B2" s="188" t="s">
        <v>68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4"/>
      <c r="N2" s="6"/>
      <c r="O2" s="6"/>
    </row>
    <row r="3" spans="1:75" s="1" customFormat="1" ht="24" customHeight="1" thickBot="1">
      <c r="I3" s="6"/>
      <c r="J3" s="6"/>
      <c r="K3" s="6"/>
      <c r="L3" s="6"/>
      <c r="M3" s="6"/>
      <c r="N3" s="6"/>
      <c r="O3" s="6"/>
      <c r="P3" s="6"/>
      <c r="Q3" s="6"/>
      <c r="S3" s="10"/>
    </row>
    <row r="4" spans="1:75" s="1" customFormat="1" ht="24" customHeight="1" thickTop="1" thickBot="1">
      <c r="B4" s="11" t="s">
        <v>0</v>
      </c>
      <c r="C4" s="12" t="s">
        <v>1</v>
      </c>
      <c r="D4" s="13" t="s">
        <v>2</v>
      </c>
      <c r="E4" s="6"/>
      <c r="F4" s="6"/>
      <c r="G4" s="6"/>
      <c r="H4" s="6"/>
      <c r="I4" s="14"/>
      <c r="J4" s="15" t="s">
        <v>0</v>
      </c>
      <c r="K4" s="16" t="s">
        <v>1</v>
      </c>
      <c r="L4" s="17" t="s">
        <v>2</v>
      </c>
      <c r="M4" s="18"/>
      <c r="Q4" s="19"/>
      <c r="S4" s="9"/>
    </row>
    <row r="5" spans="1:75" s="1" customFormat="1" ht="24" customHeight="1" thickTop="1" thickBot="1">
      <c r="B5" s="142" t="s">
        <v>46</v>
      </c>
      <c r="C5" s="143"/>
      <c r="D5" s="131">
        <v>-0.2</v>
      </c>
      <c r="E5" s="6"/>
      <c r="F5" s="98" t="s">
        <v>0</v>
      </c>
      <c r="G5" s="99" t="s">
        <v>1</v>
      </c>
      <c r="H5" s="100" t="s">
        <v>2</v>
      </c>
      <c r="I5" s="14"/>
      <c r="J5" s="20" t="s">
        <v>23</v>
      </c>
      <c r="K5" s="16" t="s">
        <v>3</v>
      </c>
      <c r="L5" s="21">
        <f>'Table for Graphs'!$DP$2</f>
        <v>54.746089359039409</v>
      </c>
      <c r="M5" s="19"/>
      <c r="Q5" s="19"/>
      <c r="S5" s="9"/>
      <c r="U5" s="22"/>
    </row>
    <row r="6" spans="1:75" s="1" customFormat="1" ht="24" customHeight="1" thickTop="1">
      <c r="B6" s="132" t="s">
        <v>4</v>
      </c>
      <c r="C6" s="133" t="s">
        <v>3</v>
      </c>
      <c r="D6" s="134">
        <v>59</v>
      </c>
      <c r="E6" s="6"/>
      <c r="F6" s="129" t="s">
        <v>5</v>
      </c>
      <c r="G6" s="130" t="s">
        <v>3</v>
      </c>
      <c r="H6" s="131">
        <v>49</v>
      </c>
      <c r="I6" s="14"/>
      <c r="J6" s="186" t="s">
        <v>40</v>
      </c>
      <c r="K6" s="186"/>
      <c r="L6" s="186"/>
      <c r="M6" s="19"/>
      <c r="Q6" s="25"/>
      <c r="S6" s="182"/>
      <c r="T6" s="183"/>
      <c r="U6" s="183"/>
      <c r="X6" s="26"/>
      <c r="Y6" s="26"/>
      <c r="Z6" s="26"/>
      <c r="AA6" s="26"/>
      <c r="AB6" s="26"/>
      <c r="AC6" s="26"/>
      <c r="AD6" s="27"/>
      <c r="AE6" s="27"/>
      <c r="AF6" s="27"/>
      <c r="AG6" s="27"/>
      <c r="AH6" s="27"/>
      <c r="AI6" s="27"/>
      <c r="AJ6" s="27"/>
      <c r="AK6" s="26"/>
      <c r="AL6" s="26"/>
      <c r="AM6" s="26"/>
      <c r="AN6" s="27"/>
      <c r="AO6" s="27"/>
      <c r="AP6" s="27"/>
      <c r="AQ6" s="27"/>
      <c r="AR6" s="27"/>
      <c r="AS6" s="27"/>
      <c r="AT6" s="27"/>
      <c r="AU6" s="26"/>
      <c r="AV6" s="26"/>
      <c r="AW6" s="26"/>
      <c r="AX6" s="28"/>
      <c r="AY6" s="28"/>
      <c r="AZ6" s="28"/>
      <c r="BA6" s="28"/>
      <c r="BB6" s="28"/>
      <c r="BC6" s="28"/>
      <c r="BD6" s="28"/>
      <c r="BE6" s="29"/>
      <c r="BF6" s="29"/>
      <c r="BG6" s="29"/>
      <c r="BH6" s="28"/>
      <c r="BI6" s="28"/>
      <c r="BJ6" s="28"/>
      <c r="BK6" s="28"/>
      <c r="BL6" s="28"/>
      <c r="BM6" s="28"/>
      <c r="BN6" s="28"/>
      <c r="BO6" s="29"/>
      <c r="BP6" s="29"/>
      <c r="BQ6" s="29"/>
      <c r="BR6" s="27"/>
      <c r="BS6" s="27"/>
      <c r="BT6" s="27"/>
      <c r="BU6" s="27"/>
      <c r="BV6" s="27"/>
      <c r="BW6" s="26"/>
    </row>
    <row r="7" spans="1:75" s="1" customFormat="1" ht="24" customHeight="1" thickBot="1">
      <c r="B7" s="23" t="s">
        <v>38</v>
      </c>
      <c r="C7" s="24" t="s">
        <v>3</v>
      </c>
      <c r="D7" s="2">
        <v>-90</v>
      </c>
      <c r="F7" s="132" t="s">
        <v>6</v>
      </c>
      <c r="G7" s="133" t="s">
        <v>3</v>
      </c>
      <c r="H7" s="134">
        <v>43</v>
      </c>
      <c r="I7" s="14"/>
      <c r="M7" s="25"/>
      <c r="Q7" s="25"/>
    </row>
    <row r="8" spans="1:75" s="1" customFormat="1" ht="24" customHeight="1" thickTop="1" thickBot="1">
      <c r="B8" s="23" t="s">
        <v>32</v>
      </c>
      <c r="C8" s="24" t="s">
        <v>3</v>
      </c>
      <c r="D8" s="2">
        <v>25</v>
      </c>
      <c r="E8" s="6"/>
      <c r="F8" s="132" t="s">
        <v>9</v>
      </c>
      <c r="G8" s="133" t="s">
        <v>3</v>
      </c>
      <c r="H8" s="134">
        <v>55</v>
      </c>
      <c r="I8" s="14"/>
      <c r="J8" s="15" t="s">
        <v>0</v>
      </c>
      <c r="K8" s="16" t="s">
        <v>1</v>
      </c>
      <c r="L8" s="17" t="s">
        <v>2</v>
      </c>
      <c r="M8" s="6"/>
      <c r="Q8" s="6"/>
      <c r="X8" s="7"/>
      <c r="Y8" s="8"/>
      <c r="Z8" s="8"/>
      <c r="AA8" s="9"/>
      <c r="AB8" s="9"/>
      <c r="AC8" s="8"/>
      <c r="AD8" s="9"/>
      <c r="AE8" s="7"/>
      <c r="AF8" s="7"/>
      <c r="AG8" s="9"/>
      <c r="AH8" s="7"/>
      <c r="AI8" s="8"/>
      <c r="AJ8" s="8"/>
      <c r="AK8" s="9"/>
      <c r="AL8" s="9"/>
      <c r="AM8" s="8"/>
      <c r="AN8" s="9"/>
      <c r="AO8" s="7"/>
      <c r="AP8" s="7"/>
      <c r="AQ8" s="9"/>
      <c r="AR8" s="7"/>
      <c r="AS8" s="8"/>
      <c r="AT8" s="8"/>
      <c r="AU8" s="9"/>
      <c r="AV8" s="9"/>
      <c r="AW8" s="8"/>
      <c r="AX8" s="9"/>
      <c r="AY8" s="7"/>
      <c r="AZ8" s="7"/>
      <c r="BA8" s="9"/>
      <c r="BB8" s="7"/>
      <c r="BC8" s="8"/>
      <c r="BD8" s="8"/>
      <c r="BE8" s="9"/>
      <c r="BF8" s="9"/>
      <c r="BG8" s="8"/>
      <c r="BH8" s="9"/>
      <c r="BI8" s="7"/>
      <c r="BJ8" s="7"/>
      <c r="BK8" s="9"/>
      <c r="BL8" s="7"/>
      <c r="BM8" s="8"/>
      <c r="BN8" s="8"/>
      <c r="BO8" s="9"/>
      <c r="BP8" s="9"/>
      <c r="BQ8" s="8"/>
      <c r="BR8" s="8"/>
      <c r="BS8" s="7"/>
      <c r="BT8" s="7"/>
      <c r="BV8" s="8"/>
    </row>
    <row r="9" spans="1:75" s="1" customFormat="1" ht="24" customHeight="1" thickTop="1">
      <c r="B9" s="30" t="s">
        <v>31</v>
      </c>
      <c r="C9" s="24"/>
      <c r="D9" s="2">
        <v>0.25</v>
      </c>
      <c r="E9" s="6"/>
      <c r="F9" s="132" t="s">
        <v>7</v>
      </c>
      <c r="G9" s="133" t="s">
        <v>3</v>
      </c>
      <c r="H9" s="134">
        <v>60</v>
      </c>
      <c r="J9" s="34" t="s">
        <v>65</v>
      </c>
      <c r="K9" s="159" t="s">
        <v>42</v>
      </c>
      <c r="L9" s="36">
        <f>'Table for Graphs'!G26</f>
        <v>1.25</v>
      </c>
      <c r="M9" s="6"/>
      <c r="Q9" s="6"/>
      <c r="X9" s="7"/>
    </row>
    <row r="10" spans="1:75" s="1" customFormat="1" ht="24" customHeight="1" thickBot="1">
      <c r="B10" s="144" t="s">
        <v>28</v>
      </c>
      <c r="C10" s="145"/>
      <c r="D10" s="146">
        <v>2.2999999999999998</v>
      </c>
      <c r="E10" s="6"/>
      <c r="F10" s="135" t="s">
        <v>8</v>
      </c>
      <c r="G10" s="136" t="s">
        <v>3</v>
      </c>
      <c r="H10" s="137">
        <v>65</v>
      </c>
      <c r="I10" s="14"/>
      <c r="J10" s="31" t="s">
        <v>52</v>
      </c>
      <c r="K10" s="160" t="s">
        <v>42</v>
      </c>
      <c r="L10" s="39">
        <f>'Table for Graphs'!G27</f>
        <v>11.5</v>
      </c>
      <c r="M10" s="18"/>
      <c r="Q10" s="18"/>
      <c r="R10" s="14"/>
      <c r="S10" s="182"/>
      <c r="T10" s="182"/>
      <c r="U10" s="182"/>
      <c r="V10" s="6"/>
    </row>
    <row r="11" spans="1:75" s="1" customFormat="1" ht="24" customHeight="1" thickTop="1">
      <c r="B11" s="185" t="s">
        <v>41</v>
      </c>
      <c r="C11" s="185"/>
      <c r="D11" s="185"/>
      <c r="E11" s="25"/>
      <c r="F11" s="182" t="s">
        <v>55</v>
      </c>
      <c r="G11" s="182"/>
      <c r="H11" s="182"/>
      <c r="I11" s="14"/>
      <c r="J11" s="186" t="s">
        <v>66</v>
      </c>
      <c r="K11" s="186"/>
      <c r="L11" s="186"/>
      <c r="M11" s="19"/>
      <c r="Q11" s="6"/>
      <c r="R11" s="14"/>
      <c r="V11" s="6"/>
    </row>
    <row r="12" spans="1:75" s="1" customFormat="1" ht="24" customHeight="1">
      <c r="E12" s="6"/>
      <c r="F12" s="6"/>
      <c r="G12" s="6"/>
      <c r="H12" s="6"/>
      <c r="Q12" s="18"/>
      <c r="S12" s="6"/>
      <c r="T12" s="33"/>
      <c r="U12" s="10"/>
      <c r="V12" s="6"/>
    </row>
    <row r="13" spans="1:75" s="1" customFormat="1" ht="24" customHeight="1">
      <c r="Q13" s="25"/>
      <c r="S13" s="6"/>
      <c r="T13" s="6"/>
      <c r="U13" s="6"/>
      <c r="V13" s="6"/>
      <c r="X13" s="26"/>
      <c r="Y13" s="26"/>
      <c r="Z13" s="26"/>
    </row>
    <row r="14" spans="1:75" s="1" customFormat="1" ht="24" customHeight="1" thickBot="1">
      <c r="M14" s="19"/>
      <c r="Q14" s="25"/>
      <c r="S14" s="6"/>
      <c r="T14" s="6"/>
      <c r="U14" s="6"/>
      <c r="V14" s="6"/>
      <c r="X14" s="26"/>
      <c r="Y14" s="26"/>
      <c r="Z14" s="26"/>
    </row>
    <row r="15" spans="1:75" s="1" customFormat="1" ht="24" customHeight="1" thickTop="1" thickBot="1">
      <c r="E15" s="6"/>
      <c r="F15" s="6"/>
      <c r="G15" s="6"/>
      <c r="H15" s="6"/>
      <c r="J15" s="15" t="s">
        <v>0</v>
      </c>
      <c r="K15" s="16" t="s">
        <v>1</v>
      </c>
      <c r="L15" s="17" t="s">
        <v>2</v>
      </c>
      <c r="M15" s="179" t="s">
        <v>84</v>
      </c>
      <c r="N15" s="180"/>
      <c r="O15" s="180"/>
      <c r="Q15" s="25"/>
      <c r="S15" s="6"/>
      <c r="T15" s="6"/>
      <c r="U15" s="6"/>
      <c r="V15" s="6"/>
      <c r="X15" s="26"/>
      <c r="Y15" s="26"/>
      <c r="Z15" s="26"/>
    </row>
    <row r="16" spans="1:75" s="1" customFormat="1" ht="24" customHeight="1" thickTop="1" thickBot="1">
      <c r="B16" s="11" t="s">
        <v>0</v>
      </c>
      <c r="C16" s="12" t="s">
        <v>1</v>
      </c>
      <c r="D16" s="13" t="s">
        <v>2</v>
      </c>
      <c r="E16" s="6"/>
      <c r="F16" s="15" t="s">
        <v>0</v>
      </c>
      <c r="G16" s="16" t="s">
        <v>1</v>
      </c>
      <c r="H16" s="17" t="s">
        <v>2</v>
      </c>
      <c r="I16" s="14"/>
      <c r="J16" s="34" t="s">
        <v>76</v>
      </c>
      <c r="K16" s="35"/>
      <c r="L16" s="36">
        <f>'Table for Graphs'!C26</f>
        <v>0.42058120499216611</v>
      </c>
      <c r="M16" s="179" t="s">
        <v>85</v>
      </c>
      <c r="N16" s="184"/>
      <c r="O16" s="184"/>
      <c r="Q16" s="6"/>
      <c r="R16" s="40"/>
      <c r="S16" s="6"/>
      <c r="T16" s="33"/>
      <c r="U16" s="10"/>
      <c r="V16" s="6"/>
    </row>
    <row r="17" spans="1:22" ht="24" customHeight="1" thickTop="1" thickBot="1">
      <c r="A17" s="1"/>
      <c r="B17" s="37" t="s">
        <v>54</v>
      </c>
      <c r="C17" s="158" t="s">
        <v>42</v>
      </c>
      <c r="D17" s="3">
        <v>10</v>
      </c>
      <c r="E17" s="6"/>
      <c r="F17" s="31" t="s">
        <v>59</v>
      </c>
      <c r="G17" s="16"/>
      <c r="H17" s="32">
        <f>'Table for Graphs'!G10</f>
        <v>-1</v>
      </c>
      <c r="J17" s="31" t="s">
        <v>77</v>
      </c>
      <c r="K17" s="38"/>
      <c r="L17" s="39">
        <f>'Table for Graphs'!C27</f>
        <v>0.36050845620917676</v>
      </c>
      <c r="M17" s="179" t="s">
        <v>86</v>
      </c>
      <c r="N17" s="184"/>
      <c r="O17" s="184"/>
      <c r="P17" s="1"/>
      <c r="Q17" s="6"/>
      <c r="R17" s="40"/>
      <c r="S17" s="6"/>
      <c r="T17" s="33"/>
      <c r="U17" s="10"/>
      <c r="V17" s="6"/>
    </row>
    <row r="18" spans="1:22" ht="24" customHeight="1" thickTop="1">
      <c r="A18" s="1"/>
      <c r="B18" s="185" t="s">
        <v>58</v>
      </c>
      <c r="C18" s="185"/>
      <c r="D18" s="185"/>
      <c r="E18" s="26"/>
      <c r="F18" s="186" t="s">
        <v>67</v>
      </c>
      <c r="G18" s="186"/>
      <c r="H18" s="186"/>
      <c r="J18" s="186" t="s">
        <v>56</v>
      </c>
      <c r="K18" s="186"/>
      <c r="L18" s="186"/>
      <c r="M18" s="25"/>
      <c r="N18" s="1"/>
      <c r="O18" s="1"/>
      <c r="P18" s="1"/>
      <c r="Q18" s="6"/>
      <c r="R18" s="40"/>
      <c r="S18" s="6"/>
      <c r="T18" s="33"/>
      <c r="U18" s="10"/>
      <c r="V18" s="6"/>
    </row>
    <row r="19" spans="1:22" ht="24" customHeight="1">
      <c r="A19" s="1"/>
      <c r="B19" s="27"/>
      <c r="C19" s="27"/>
      <c r="D19" s="27"/>
      <c r="E19" s="26"/>
      <c r="F19" s="27"/>
      <c r="G19" s="27"/>
      <c r="H19" s="27"/>
      <c r="J19" s="27"/>
      <c r="K19" s="27"/>
      <c r="L19" s="27"/>
      <c r="M19" s="25"/>
      <c r="N19" s="1"/>
      <c r="O19" s="1"/>
      <c r="P19" s="1"/>
      <c r="Q19" s="6"/>
      <c r="R19" s="40"/>
      <c r="S19" s="6"/>
      <c r="T19" s="33"/>
      <c r="U19" s="10"/>
      <c r="V19" s="6"/>
    </row>
    <row r="20" spans="1:22" ht="24" customHeight="1">
      <c r="A20" s="154">
        <v>42561</v>
      </c>
      <c r="J20" s="1"/>
      <c r="K20" s="1"/>
      <c r="L20" s="1"/>
      <c r="M20" s="6"/>
      <c r="N20" s="6"/>
      <c r="O20" s="6"/>
      <c r="P20" s="6"/>
      <c r="Q20" s="6"/>
      <c r="R20" s="40"/>
      <c r="S20" s="6"/>
      <c r="T20" s="33"/>
      <c r="U20" s="10"/>
      <c r="V20" s="6"/>
    </row>
    <row r="21" spans="1:22" ht="24" hidden="1" customHeight="1">
      <c r="A21" s="1"/>
      <c r="J21" s="1"/>
      <c r="K21" s="1"/>
      <c r="L21" s="1"/>
      <c r="M21" s="6"/>
      <c r="N21" s="6"/>
      <c r="O21" s="6"/>
      <c r="P21" s="6"/>
      <c r="Q21" s="6"/>
      <c r="R21" s="40"/>
      <c r="S21" s="6"/>
      <c r="T21" s="33"/>
      <c r="U21" s="10"/>
      <c r="V21" s="6"/>
    </row>
    <row r="22" spans="1:22" ht="24" hidden="1" customHeight="1">
      <c r="A22" s="1"/>
      <c r="J22" s="1"/>
      <c r="K22" s="1"/>
      <c r="L22" s="1"/>
      <c r="M22" s="6"/>
      <c r="N22" s="6"/>
      <c r="O22" s="6"/>
      <c r="P22" s="6"/>
      <c r="Q22" s="6"/>
      <c r="R22" s="40"/>
      <c r="S22" s="6"/>
      <c r="T22" s="33"/>
      <c r="U22" s="10"/>
      <c r="V22" s="6"/>
    </row>
    <row r="23" spans="1:22" ht="24" hidden="1" customHeight="1">
      <c r="A23" s="1"/>
      <c r="J23" s="1"/>
      <c r="K23" s="1"/>
      <c r="L23" s="1"/>
      <c r="M23" s="6"/>
      <c r="N23" s="6"/>
      <c r="O23" s="6"/>
      <c r="P23" s="6"/>
      <c r="Q23" s="6"/>
      <c r="R23" s="40"/>
      <c r="S23" s="6"/>
      <c r="T23" s="33"/>
      <c r="U23" s="10"/>
      <c r="V23" s="6"/>
    </row>
    <row r="24" spans="1:22" ht="24" hidden="1" customHeight="1">
      <c r="A24" s="1"/>
      <c r="B24" s="1"/>
      <c r="C24" s="1"/>
      <c r="D24" s="1"/>
      <c r="E24" s="1"/>
      <c r="F24" s="1"/>
      <c r="G24" s="1"/>
      <c r="H24" s="1"/>
      <c r="J24" s="1"/>
      <c r="K24" s="1"/>
      <c r="L24" s="1"/>
      <c r="M24" s="6"/>
      <c r="N24" s="6"/>
      <c r="O24" s="6"/>
      <c r="P24" s="6"/>
      <c r="Q24" s="6"/>
      <c r="R24" s="40"/>
      <c r="S24" s="6"/>
      <c r="T24" s="33"/>
      <c r="U24" s="10"/>
      <c r="V24" s="6"/>
    </row>
    <row r="25" spans="1:22" ht="24" hidden="1" customHeight="1">
      <c r="A25" s="1"/>
      <c r="B25" s="1"/>
      <c r="C25" s="1"/>
      <c r="D25" s="1"/>
      <c r="E25" s="1"/>
      <c r="F25" s="1"/>
      <c r="G25" s="1"/>
      <c r="H25" s="1"/>
      <c r="J25" s="1"/>
      <c r="K25" s="1"/>
      <c r="L25" s="1"/>
      <c r="M25" s="18"/>
      <c r="N25" s="18"/>
      <c r="O25" s="18"/>
      <c r="P25" s="18"/>
      <c r="Q25" s="18"/>
      <c r="R25" s="40"/>
      <c r="S25" s="6"/>
      <c r="T25" s="33"/>
      <c r="U25" s="10"/>
      <c r="V25" s="6"/>
    </row>
    <row r="26" spans="1:22" ht="24" hidden="1" customHeight="1">
      <c r="A26" s="1"/>
      <c r="B26" s="1"/>
      <c r="C26" s="1"/>
      <c r="D26" s="1"/>
      <c r="E26" s="1"/>
      <c r="F26" s="1"/>
      <c r="G26" s="1"/>
      <c r="H26" s="1"/>
      <c r="J26" s="1"/>
      <c r="K26" s="1"/>
      <c r="L26" s="1"/>
      <c r="M26" s="25"/>
      <c r="N26" s="25"/>
      <c r="O26" s="25"/>
      <c r="P26" s="25"/>
      <c r="Q26" s="25"/>
      <c r="R26" s="40"/>
      <c r="S26" s="6"/>
      <c r="T26" s="33"/>
      <c r="U26" s="10"/>
      <c r="V26" s="6"/>
    </row>
    <row r="27" spans="1:22" ht="24" hidden="1" customHeight="1">
      <c r="A27" s="1"/>
      <c r="B27" s="1"/>
      <c r="C27" s="1"/>
      <c r="D27" s="1"/>
      <c r="E27" s="1"/>
      <c r="F27" s="1"/>
      <c r="G27" s="1"/>
      <c r="H27" s="1"/>
      <c r="J27" s="26"/>
      <c r="K27" s="26"/>
      <c r="L27" s="26"/>
      <c r="M27" s="25"/>
      <c r="N27" s="25"/>
      <c r="O27" s="25"/>
      <c r="P27" s="25"/>
      <c r="Q27" s="25"/>
      <c r="R27" s="40"/>
      <c r="S27" s="6"/>
      <c r="T27" s="33"/>
      <c r="U27" s="10"/>
      <c r="V27" s="6"/>
    </row>
    <row r="28" spans="1:22" ht="24" hidden="1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6"/>
      <c r="N28" s="6"/>
      <c r="O28" s="6"/>
      <c r="P28" s="6"/>
      <c r="Q28" s="6"/>
      <c r="R28" s="26"/>
      <c r="S28" s="6"/>
      <c r="T28" s="33"/>
      <c r="U28" s="10"/>
      <c r="V28" s="6"/>
    </row>
    <row r="29" spans="1:22" ht="24" hidden="1" customHeight="1">
      <c r="A29" s="1"/>
      <c r="B29" s="9"/>
      <c r="C29" s="1"/>
      <c r="D29" s="1"/>
      <c r="E29" s="1"/>
      <c r="F29" s="1"/>
      <c r="G29" s="1"/>
      <c r="H29" s="1"/>
      <c r="J29" s="1"/>
      <c r="K29" s="1"/>
      <c r="L29" s="1"/>
      <c r="M29" s="6"/>
      <c r="N29" s="6"/>
      <c r="O29" s="6"/>
      <c r="P29" s="6"/>
      <c r="Q29" s="6"/>
      <c r="R29" s="1"/>
      <c r="S29" s="181"/>
      <c r="T29" s="181"/>
      <c r="U29" s="181"/>
      <c r="V29" s="181"/>
    </row>
    <row r="30" spans="1:22" ht="24" hidden="1" customHeight="1">
      <c r="A30" s="1"/>
      <c r="B30" s="41"/>
      <c r="C30" s="42"/>
      <c r="D30" s="42"/>
      <c r="E30" s="42"/>
      <c r="F30" s="42"/>
      <c r="G30" s="42"/>
      <c r="H30" s="42"/>
      <c r="J30" s="1"/>
      <c r="K30" s="1"/>
      <c r="L30" s="1"/>
      <c r="M30" s="6"/>
      <c r="N30" s="6"/>
      <c r="O30" s="6"/>
      <c r="P30" s="6"/>
      <c r="Q30" s="6"/>
      <c r="R30" s="1"/>
    </row>
    <row r="31" spans="1:22" ht="24" hidden="1" customHeight="1">
      <c r="A31" s="1"/>
      <c r="B31" s="41"/>
      <c r="C31" s="42"/>
      <c r="D31" s="42"/>
      <c r="E31" s="42"/>
      <c r="F31" s="42"/>
      <c r="G31" s="42"/>
      <c r="H31" s="42"/>
      <c r="U31" s="9"/>
    </row>
    <row r="32" spans="1:22" ht="24" hidden="1" customHeight="1">
      <c r="A32" s="1"/>
      <c r="B32" s="41"/>
      <c r="C32" s="42"/>
      <c r="D32" s="42"/>
      <c r="E32" s="42"/>
      <c r="F32" s="42"/>
      <c r="G32" s="42"/>
      <c r="H32" s="42"/>
      <c r="U32" s="9"/>
    </row>
    <row r="33" spans="2:21" s="1" customFormat="1" ht="24" hidden="1" customHeight="1">
      <c r="B33" s="41"/>
      <c r="C33" s="42"/>
      <c r="D33" s="42"/>
      <c r="E33" s="42"/>
      <c r="F33" s="42"/>
      <c r="G33" s="42"/>
      <c r="H33" s="42"/>
      <c r="I33" s="14"/>
      <c r="J33" s="14"/>
      <c r="K33" s="14"/>
      <c r="L33" s="14"/>
      <c r="M33" s="43"/>
      <c r="N33" s="43"/>
      <c r="O33" s="43"/>
      <c r="P33" s="43"/>
      <c r="Q33" s="43"/>
      <c r="R33" s="14"/>
      <c r="U33" s="9"/>
    </row>
    <row r="34" spans="2:21" s="1" customFormat="1" ht="24" hidden="1" customHeight="1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43"/>
      <c r="N34" s="43"/>
      <c r="O34" s="43"/>
      <c r="P34" s="43"/>
      <c r="Q34" s="43"/>
      <c r="R34" s="14"/>
      <c r="U34" s="9"/>
    </row>
    <row r="35" spans="2:21" s="1" customFormat="1" ht="24" hidden="1" customHeight="1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43"/>
      <c r="N35" s="43"/>
      <c r="O35" s="43"/>
      <c r="P35" s="43"/>
      <c r="Q35" s="43"/>
      <c r="R35" s="14"/>
    </row>
    <row r="36" spans="2:21" s="1" customFormat="1" ht="24" hidden="1" customHeight="1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43"/>
      <c r="N36" s="43"/>
      <c r="O36" s="43"/>
      <c r="P36" s="43"/>
      <c r="Q36" s="43"/>
      <c r="R36" s="14"/>
    </row>
    <row r="37" spans="2:21" s="1" customFormat="1" ht="24" hidden="1" customHeight="1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43"/>
      <c r="N37" s="43"/>
      <c r="O37" s="43"/>
      <c r="P37" s="43"/>
      <c r="Q37" s="43"/>
      <c r="R37" s="14"/>
    </row>
    <row r="38" spans="2:21" s="1" customFormat="1" ht="24" hidden="1" customHeight="1">
      <c r="B38" s="27"/>
      <c r="C38" s="27"/>
      <c r="D38" s="27"/>
      <c r="E38" s="27"/>
      <c r="F38" s="27"/>
      <c r="G38" s="27"/>
      <c r="H38" s="27"/>
      <c r="I38" s="14"/>
      <c r="J38" s="14"/>
      <c r="K38" s="14"/>
      <c r="L38" s="14"/>
      <c r="M38" s="43"/>
      <c r="N38" s="43"/>
      <c r="O38" s="43"/>
      <c r="P38" s="43"/>
      <c r="Q38" s="43"/>
      <c r="R38" s="14"/>
    </row>
    <row r="39" spans="2:21" s="1" customFormat="1" ht="24" hidden="1" customHeight="1">
      <c r="B39" s="27"/>
      <c r="C39" s="27"/>
      <c r="D39" s="27"/>
      <c r="E39" s="27"/>
      <c r="F39" s="27"/>
      <c r="G39" s="27"/>
      <c r="H39" s="27"/>
      <c r="I39" s="14"/>
      <c r="J39" s="14"/>
      <c r="K39" s="14"/>
      <c r="L39" s="14"/>
      <c r="M39" s="43"/>
      <c r="N39" s="43"/>
      <c r="O39" s="43"/>
      <c r="P39" s="43"/>
      <c r="Q39" s="43"/>
      <c r="R39" s="14"/>
    </row>
    <row r="40" spans="2:21" s="1" customFormat="1" ht="24" hidden="1" customHeight="1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43"/>
      <c r="N40" s="43"/>
      <c r="O40" s="43"/>
      <c r="P40" s="43"/>
      <c r="Q40" s="43"/>
      <c r="R40" s="14"/>
    </row>
    <row r="41" spans="2:21" s="1" customFormat="1" ht="24" hidden="1" customHeight="1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43"/>
      <c r="N41" s="43"/>
      <c r="O41" s="43"/>
      <c r="P41" s="43"/>
      <c r="Q41" s="43"/>
      <c r="R41" s="14"/>
    </row>
    <row r="42" spans="2:21" s="1" customFormat="1" ht="24" hidden="1" customHeight="1">
      <c r="I42" s="14"/>
      <c r="M42" s="6"/>
      <c r="N42" s="6"/>
      <c r="O42" s="6"/>
      <c r="P42" s="6"/>
      <c r="Q42" s="6"/>
    </row>
    <row r="43" spans="2:21" s="1" customFormat="1" ht="24" hidden="1" customHeight="1">
      <c r="B43" s="14"/>
      <c r="C43" s="14"/>
      <c r="D43" s="14"/>
      <c r="E43" s="14"/>
      <c r="F43" s="14"/>
      <c r="G43" s="14"/>
      <c r="H43" s="14"/>
      <c r="I43" s="14"/>
      <c r="M43" s="6"/>
      <c r="N43" s="6"/>
      <c r="O43" s="6"/>
      <c r="P43" s="6"/>
      <c r="Q43" s="6"/>
    </row>
    <row r="44" spans="2:21" ht="24" hidden="1" customHeight="1"/>
    <row r="45" spans="2:21" ht="24" hidden="1" customHeight="1"/>
    <row r="46" spans="2:21" ht="24" hidden="1" customHeight="1"/>
    <row r="47" spans="2:21" ht="24" hidden="1" customHeight="1">
      <c r="B47" s="9"/>
      <c r="C47" s="1"/>
      <c r="D47" s="1"/>
      <c r="E47" s="1"/>
      <c r="F47" s="1"/>
      <c r="G47" s="1"/>
      <c r="H47" s="1"/>
    </row>
    <row r="48" spans="2:21" ht="24" hidden="1" customHeight="1">
      <c r="C48" s="1"/>
      <c r="D48" s="1"/>
      <c r="E48" s="1"/>
      <c r="F48" s="1"/>
      <c r="G48" s="1"/>
      <c r="H48" s="1"/>
    </row>
  </sheetData>
  <sheetProtection password="EE20" sheet="1" objects="1" scenarios="1" selectLockedCells="1"/>
  <mergeCells count="15">
    <mergeCell ref="B18:D18"/>
    <mergeCell ref="F18:H18"/>
    <mergeCell ref="J18:L18"/>
    <mergeCell ref="B11:D11"/>
    <mergeCell ref="B1:L1"/>
    <mergeCell ref="B2:L2"/>
    <mergeCell ref="F11:H11"/>
    <mergeCell ref="J6:L6"/>
    <mergeCell ref="J11:L11"/>
    <mergeCell ref="M15:O15"/>
    <mergeCell ref="S29:V29"/>
    <mergeCell ref="S10:U10"/>
    <mergeCell ref="S6:U6"/>
    <mergeCell ref="M17:O17"/>
    <mergeCell ref="M16:O16"/>
  </mergeCells>
  <phoneticPr fontId="1" type="noConversion"/>
  <printOptions headings="1" gridLines="1"/>
  <pageMargins left="0.74803149606299213" right="0.74803149606299213" top="0.98425196850393704" bottom="0.98425196850393704" header="0.51181102362204722" footer="0.51181102362204722"/>
  <pageSetup paperSize="9" scale="75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DV37"/>
  <sheetViews>
    <sheetView topLeftCell="A16" zoomScale="80" workbookViewId="0">
      <selection activeCell="C36" sqref="C36"/>
    </sheetView>
  </sheetViews>
  <sheetFormatPr defaultColWidth="12.7109375" defaultRowHeight="0" customHeight="1" zeroHeight="1"/>
  <cols>
    <col min="1" max="16384" width="12.7109375" style="14"/>
  </cols>
  <sheetData>
    <row r="1" spans="1:126" ht="24" customHeight="1" thickTop="1" thickBot="1">
      <c r="D1" s="6"/>
      <c r="J1" s="51" t="s">
        <v>10</v>
      </c>
      <c r="K1" s="52" t="s">
        <v>11</v>
      </c>
      <c r="L1" s="52" t="s">
        <v>13</v>
      </c>
      <c r="M1" s="53"/>
      <c r="N1" s="54"/>
      <c r="S1" s="1"/>
      <c r="AD1" s="51" t="s">
        <v>10</v>
      </c>
      <c r="AE1" s="52" t="s">
        <v>11</v>
      </c>
      <c r="AF1" s="52" t="s">
        <v>13</v>
      </c>
      <c r="AG1" s="54"/>
      <c r="AH1" s="7"/>
      <c r="AI1" s="8"/>
      <c r="AJ1" s="8"/>
      <c r="AK1" s="8"/>
      <c r="AL1" s="9"/>
      <c r="AM1" s="1"/>
      <c r="AN1" s="9"/>
      <c r="AX1" s="51" t="s">
        <v>10</v>
      </c>
      <c r="AY1" s="52" t="s">
        <v>11</v>
      </c>
      <c r="AZ1" s="52" t="s">
        <v>13</v>
      </c>
      <c r="BA1" s="54"/>
      <c r="BB1" s="7"/>
      <c r="BR1" s="51" t="s">
        <v>10</v>
      </c>
      <c r="BS1" s="52" t="s">
        <v>11</v>
      </c>
      <c r="BT1" s="52" t="s">
        <v>13</v>
      </c>
      <c r="BU1" s="54"/>
      <c r="BV1" s="7"/>
      <c r="CL1" s="51" t="s">
        <v>10</v>
      </c>
      <c r="CM1" s="52" t="s">
        <v>11</v>
      </c>
      <c r="CN1" s="52" t="s">
        <v>13</v>
      </c>
      <c r="CO1" s="54"/>
      <c r="CP1" s="7"/>
      <c r="DF1" s="55" t="s">
        <v>25</v>
      </c>
      <c r="DG1" s="56" t="s">
        <v>26</v>
      </c>
      <c r="DH1" s="56" t="s">
        <v>27</v>
      </c>
      <c r="DI1" s="157" t="s">
        <v>75</v>
      </c>
      <c r="DJ1" s="57" t="s">
        <v>35</v>
      </c>
      <c r="DK1" s="57" t="s">
        <v>24</v>
      </c>
      <c r="DL1" s="58" t="s">
        <v>45</v>
      </c>
      <c r="DM1" s="58" t="s">
        <v>44</v>
      </c>
      <c r="DN1" s="57" t="s">
        <v>53</v>
      </c>
      <c r="DO1" s="59" t="s">
        <v>61</v>
      </c>
      <c r="DP1" s="60" t="s">
        <v>62</v>
      </c>
      <c r="DQ1" s="61"/>
      <c r="DR1" s="1"/>
      <c r="DS1" s="8"/>
      <c r="DT1" s="8"/>
      <c r="DU1" s="9"/>
    </row>
    <row r="2" spans="1:126" ht="24" customHeight="1" thickTop="1" thickBot="1">
      <c r="A2" s="45" t="s">
        <v>0</v>
      </c>
      <c r="B2" s="46" t="s">
        <v>1</v>
      </c>
      <c r="C2" s="47" t="s">
        <v>2</v>
      </c>
      <c r="J2" s="67">
        <f>-SQRT(2)*$C$3+(1+SQRT(2)*$C$3)/4*0</f>
        <v>0.28284271247461906</v>
      </c>
      <c r="K2" s="68">
        <f>ASIN($C$3/J2)</f>
        <v>-0.78539816339744828</v>
      </c>
      <c r="L2" s="68">
        <f>($G$14-K2)/20</f>
        <v>8.2030474843733492E-2</v>
      </c>
      <c r="M2" s="69"/>
      <c r="N2" s="1"/>
      <c r="AD2" s="67">
        <f>-SQRT(2)*$C$3+(1+SQRT(2)*$C$3)/4*1</f>
        <v>0.46213203435596428</v>
      </c>
      <c r="AE2" s="68">
        <f>ASIN($C$3/AD2)</f>
        <v>-0.44757064850157513</v>
      </c>
      <c r="AF2" s="68">
        <f>($G$15-AE2)/20</f>
        <v>5.9903111342956852E-2</v>
      </c>
      <c r="AG2" s="70"/>
      <c r="AH2" s="1"/>
      <c r="AI2" s="1"/>
      <c r="AJ2" s="1"/>
      <c r="AK2" s="1"/>
      <c r="AL2" s="1"/>
      <c r="AM2" s="1"/>
      <c r="AX2" s="71">
        <f>-SQRT(2)*$C$3+(1+SQRT(2)*$C$3)/4*2</f>
        <v>0.64142135623730945</v>
      </c>
      <c r="AY2" s="72">
        <f>ASIN($C$3/AX2)</f>
        <v>-0.31709479795396917</v>
      </c>
      <c r="AZ2" s="72">
        <f>($G$16-AY2)/20</f>
        <v>6.3851294327542524E-2</v>
      </c>
      <c r="BA2" s="70"/>
      <c r="BB2" s="1"/>
      <c r="BR2" s="67">
        <f>-SQRT(2)*$C$3+(1+SQRT(2)*$C$3)/4*3</f>
        <v>0.82071067811865483</v>
      </c>
      <c r="BS2" s="68">
        <f>ASIN($C$3/BR2)</f>
        <v>-0.24617001790703902</v>
      </c>
      <c r="BT2" s="68">
        <f>($G$17-BS2)/20</f>
        <v>6.4668378455181835E-2</v>
      </c>
      <c r="BU2" s="70"/>
      <c r="BV2" s="1"/>
      <c r="CL2" s="67">
        <f>-SQRT(2)*$C$3+(1+SQRT(2)*$C$3)/4*4</f>
        <v>1</v>
      </c>
      <c r="CM2" s="68">
        <f>ASIN($C$3/CL2)</f>
        <v>-0.20135792079033082</v>
      </c>
      <c r="CN2" s="68">
        <f>($G$18-CM2)/20</f>
        <v>6.6791096729332255E-2</v>
      </c>
      <c r="CO2" s="70"/>
      <c r="CP2" s="1"/>
      <c r="DF2" s="156">
        <f>$G$10*$G$8*COS($G$6)*SIN($G$4)</f>
        <v>-7.8874762711895391E-18</v>
      </c>
      <c r="DG2" s="73">
        <f>$G$10*$G$9*SIN($G$6)*COS($G$4)</f>
        <v>1.9714847916148579</v>
      </c>
      <c r="DH2" s="73">
        <f>-$G$8*COS($G$4)*SIN($G$6)</f>
        <v>0.21429182517552806</v>
      </c>
      <c r="DI2" s="73">
        <f>SQRT(DF2^2+DG2^2)</f>
        <v>1.9714847916148579</v>
      </c>
      <c r="DJ2" s="95">
        <f>ATAN2(DG2,DF2)</f>
        <v>-4.0007796685709399E-18</v>
      </c>
      <c r="DK2" s="95">
        <f>ASIN(DH2/DI2)-DJ2</f>
        <v>0.10891083342068768</v>
      </c>
      <c r="DL2" s="73">
        <f>$G$10*COS($G$4)*COS(DK2)*COS($G$6)-SIN($G$4)*SIN($G$6)</f>
        <v>0.51503807491005427</v>
      </c>
      <c r="DM2" s="73">
        <f>-$G$10*COS($G$4)*SIN(DK2)</f>
        <v>9.3170358771968734E-2</v>
      </c>
      <c r="DN2" s="74">
        <f>IF(DM2&gt;0,ATAN(DL2/DM2),IF(DM2=0,IF(DL2&gt;0,PI()/2,IF(DL2=0,0,-PI()/2)),IF(DL2&gt;0,ATAN(DL2/DM2)+PI(),IF(DL2=0,PI(),ATAN(DL2/DM2)-PI()))))</f>
        <v>1.391831824904852</v>
      </c>
      <c r="DO2" s="75">
        <f>(DN2-$G$7)</f>
        <v>0.95549951190626969</v>
      </c>
      <c r="DP2" s="76">
        <f>DO2*$G$22</f>
        <v>54.746089359039409</v>
      </c>
      <c r="DQ2" s="77"/>
      <c r="DR2" s="1"/>
      <c r="DS2" s="1"/>
      <c r="DT2" s="1"/>
    </row>
    <row r="3" spans="1:126" ht="24" customHeight="1" thickTop="1" thickBot="1">
      <c r="A3" s="147" t="s">
        <v>51</v>
      </c>
      <c r="B3" s="148"/>
      <c r="C3" s="139">
        <f>'Input Output'!D5</f>
        <v>-0.2</v>
      </c>
      <c r="E3" s="48" t="s">
        <v>0</v>
      </c>
      <c r="F3" s="49" t="s">
        <v>1</v>
      </c>
      <c r="G3" s="50"/>
      <c r="I3" s="26"/>
      <c r="AH3" s="1"/>
      <c r="AI3" s="1"/>
      <c r="AJ3" s="1"/>
      <c r="AK3" s="1"/>
      <c r="AL3" s="1"/>
      <c r="AM3" s="1"/>
      <c r="DF3" s="189" t="s">
        <v>40</v>
      </c>
      <c r="DG3" s="189"/>
      <c r="DH3" s="189"/>
      <c r="DI3" s="189"/>
      <c r="DJ3" s="189"/>
      <c r="DK3" s="189"/>
      <c r="DL3" s="189"/>
      <c r="DM3" s="189"/>
      <c r="DN3" s="189"/>
      <c r="DO3" s="189"/>
      <c r="DP3" s="182"/>
      <c r="DR3" s="83"/>
      <c r="DS3" s="83"/>
    </row>
    <row r="4" spans="1:126" ht="24" customHeight="1" thickTop="1">
      <c r="A4" s="140"/>
      <c r="B4" s="79"/>
      <c r="C4" s="80"/>
      <c r="E4" s="149" t="s">
        <v>22</v>
      </c>
      <c r="F4" s="65" t="s">
        <v>60</v>
      </c>
      <c r="G4" s="66">
        <f>IF($G$10=1,$G$5-$G$6,IF($G$10=-1,PI()-$G$5+$G$6,"WR KAPPA"))</f>
        <v>0.54105206811824225</v>
      </c>
      <c r="M4" s="1"/>
      <c r="N4" s="1"/>
      <c r="O4" s="1"/>
      <c r="P4" s="1"/>
      <c r="Q4" s="1"/>
      <c r="R4" s="1"/>
      <c r="V4" s="26"/>
      <c r="W4" s="26"/>
      <c r="X4" s="26"/>
      <c r="Y4" s="26"/>
      <c r="Z4" s="26"/>
      <c r="AA4" s="26"/>
      <c r="AB4" s="26"/>
      <c r="AC4" s="26"/>
      <c r="CE4" s="84"/>
      <c r="CF4" s="84"/>
      <c r="CG4" s="84"/>
      <c r="CH4" s="84"/>
      <c r="CI4" s="84"/>
      <c r="CJ4" s="84"/>
      <c r="CK4" s="84"/>
      <c r="DF4" s="6"/>
      <c r="DG4" s="6"/>
      <c r="DH4" s="6"/>
      <c r="DI4" s="6"/>
      <c r="DJ4" s="6"/>
      <c r="DK4" s="6"/>
      <c r="DL4" s="6"/>
      <c r="DM4" s="6"/>
      <c r="DN4" s="6"/>
      <c r="DO4" s="6"/>
      <c r="DP4" s="33"/>
    </row>
    <row r="5" spans="1:126" ht="24" customHeight="1">
      <c r="A5" s="78" t="s">
        <v>4</v>
      </c>
      <c r="B5" s="79" t="s">
        <v>3</v>
      </c>
      <c r="C5" s="141">
        <f>'Input Output'!D6</f>
        <v>59</v>
      </c>
      <c r="E5" s="81" t="s">
        <v>4</v>
      </c>
      <c r="F5" s="6" t="s">
        <v>60</v>
      </c>
      <c r="G5" s="82">
        <f>C5*$G$21</f>
        <v>1.0297442586766545</v>
      </c>
      <c r="J5" s="182" t="s">
        <v>18</v>
      </c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26"/>
      <c r="X5" s="26"/>
      <c r="Y5" s="26"/>
      <c r="Z5" s="26"/>
      <c r="AA5" s="26"/>
      <c r="AB5" s="26"/>
      <c r="AD5" s="190" t="s">
        <v>19</v>
      </c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90"/>
      <c r="AP5" s="190"/>
      <c r="AQ5" s="155"/>
      <c r="AR5" s="155"/>
      <c r="AS5" s="155"/>
      <c r="AT5" s="155"/>
      <c r="AU5" s="155"/>
      <c r="AV5" s="155"/>
      <c r="AW5" s="8"/>
      <c r="AX5" s="190" t="s">
        <v>17</v>
      </c>
      <c r="AY5" s="190"/>
      <c r="AZ5" s="190"/>
      <c r="BA5" s="190"/>
      <c r="BB5" s="190"/>
      <c r="BC5" s="190"/>
      <c r="BD5" s="190"/>
      <c r="BE5" s="190"/>
      <c r="BF5" s="190"/>
      <c r="BG5" s="190"/>
      <c r="BH5" s="190"/>
      <c r="BI5" s="190"/>
      <c r="BJ5" s="190"/>
      <c r="BK5" s="8"/>
      <c r="BL5" s="8"/>
      <c r="BM5" s="8"/>
      <c r="BN5" s="8"/>
      <c r="BO5" s="8"/>
      <c r="BP5" s="8"/>
      <c r="BQ5" s="8"/>
      <c r="BR5" s="191" t="s">
        <v>16</v>
      </c>
      <c r="BS5" s="191"/>
      <c r="BT5" s="191"/>
      <c r="BU5" s="191"/>
      <c r="BV5" s="191"/>
      <c r="BW5" s="191"/>
      <c r="BX5" s="191"/>
      <c r="BY5" s="191"/>
      <c r="BZ5" s="191"/>
      <c r="CA5" s="191"/>
      <c r="CB5" s="191"/>
      <c r="CC5" s="191"/>
      <c r="CD5" s="191"/>
      <c r="CE5" s="8"/>
      <c r="CF5" s="8"/>
      <c r="CG5" s="8"/>
      <c r="CH5" s="8"/>
      <c r="CI5" s="8"/>
      <c r="CJ5" s="8"/>
      <c r="CK5" s="8"/>
      <c r="CL5" s="191" t="s">
        <v>15</v>
      </c>
      <c r="CM5" s="191"/>
      <c r="CN5" s="191"/>
      <c r="CO5" s="191"/>
      <c r="CP5" s="191"/>
      <c r="CQ5" s="191"/>
      <c r="CR5" s="191"/>
      <c r="CS5" s="191"/>
      <c r="CT5" s="191"/>
      <c r="CU5" s="191"/>
      <c r="CV5" s="191"/>
      <c r="CW5" s="191"/>
      <c r="CX5" s="191"/>
      <c r="DF5" s="190" t="s">
        <v>20</v>
      </c>
      <c r="DG5" s="190"/>
      <c r="DH5" s="190"/>
      <c r="DI5" s="190"/>
      <c r="DJ5" s="190"/>
      <c r="DK5" s="190"/>
      <c r="DL5" s="190"/>
      <c r="DM5" s="190"/>
      <c r="DN5" s="190"/>
      <c r="DO5" s="190"/>
      <c r="DP5" s="190"/>
      <c r="DQ5" s="190"/>
      <c r="DR5" s="190"/>
      <c r="DS5" s="190"/>
      <c r="DT5" s="83"/>
    </row>
    <row r="6" spans="1:126" ht="24" customHeight="1" thickBot="1">
      <c r="A6" s="78" t="s">
        <v>57</v>
      </c>
      <c r="B6" s="79" t="s">
        <v>3</v>
      </c>
      <c r="C6" s="141">
        <f>'Input Output'!D7</f>
        <v>-90</v>
      </c>
      <c r="E6" s="81" t="s">
        <v>57</v>
      </c>
      <c r="F6" s="6" t="s">
        <v>60</v>
      </c>
      <c r="G6" s="82">
        <f>C6*$G$21</f>
        <v>-1.5707963267948966</v>
      </c>
      <c r="AC6" s="8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U6" s="1"/>
    </row>
    <row r="7" spans="1:126" ht="24" customHeight="1" thickTop="1" thickBot="1">
      <c r="A7" s="78" t="s">
        <v>32</v>
      </c>
      <c r="B7" s="79" t="s">
        <v>3</v>
      </c>
      <c r="C7" s="141">
        <f>'Input Output'!D8</f>
        <v>25</v>
      </c>
      <c r="E7" s="81" t="s">
        <v>32</v>
      </c>
      <c r="F7" s="6" t="s">
        <v>60</v>
      </c>
      <c r="G7" s="82">
        <f>C7*$G$21</f>
        <v>0.43633231299858238</v>
      </c>
      <c r="J7" s="89" t="s">
        <v>12</v>
      </c>
      <c r="K7" s="90" t="s">
        <v>47</v>
      </c>
      <c r="L7" s="90" t="s">
        <v>48</v>
      </c>
      <c r="M7" s="91" t="s">
        <v>25</v>
      </c>
      <c r="N7" s="91" t="s">
        <v>26</v>
      </c>
      <c r="O7" s="91" t="s">
        <v>27</v>
      </c>
      <c r="P7" s="157" t="s">
        <v>75</v>
      </c>
      <c r="Q7" s="52" t="s">
        <v>35</v>
      </c>
      <c r="R7" s="52" t="s">
        <v>24</v>
      </c>
      <c r="S7" s="91" t="s">
        <v>43</v>
      </c>
      <c r="T7" s="90" t="s">
        <v>49</v>
      </c>
      <c r="U7" s="91" t="s">
        <v>50</v>
      </c>
      <c r="V7" s="92" t="s">
        <v>14</v>
      </c>
      <c r="W7" s="8"/>
      <c r="X7" s="8"/>
      <c r="Y7" s="8"/>
      <c r="Z7" s="8"/>
      <c r="AA7" s="8"/>
      <c r="AB7" s="8"/>
      <c r="AC7" s="1"/>
      <c r="AD7" s="89" t="s">
        <v>12</v>
      </c>
      <c r="AE7" s="90" t="s">
        <v>47</v>
      </c>
      <c r="AF7" s="90" t="s">
        <v>48</v>
      </c>
      <c r="AG7" s="91" t="s">
        <v>25</v>
      </c>
      <c r="AH7" s="91" t="s">
        <v>26</v>
      </c>
      <c r="AI7" s="91" t="s">
        <v>27</v>
      </c>
      <c r="AJ7" s="157" t="s">
        <v>75</v>
      </c>
      <c r="AK7" s="52" t="s">
        <v>35</v>
      </c>
      <c r="AL7" s="52" t="s">
        <v>24</v>
      </c>
      <c r="AM7" s="91" t="s">
        <v>43</v>
      </c>
      <c r="AN7" s="90" t="s">
        <v>49</v>
      </c>
      <c r="AO7" s="91" t="s">
        <v>50</v>
      </c>
      <c r="AP7" s="92" t="s">
        <v>14</v>
      </c>
      <c r="AQ7" s="8"/>
      <c r="AR7" s="8"/>
      <c r="AS7" s="8"/>
      <c r="AT7" s="8"/>
      <c r="AU7" s="8"/>
      <c r="AV7" s="8"/>
      <c r="AW7" s="8"/>
      <c r="AX7" s="89" t="s">
        <v>12</v>
      </c>
      <c r="AY7" s="90" t="s">
        <v>47</v>
      </c>
      <c r="AZ7" s="90" t="s">
        <v>48</v>
      </c>
      <c r="BA7" s="91" t="s">
        <v>25</v>
      </c>
      <c r="BB7" s="91" t="s">
        <v>26</v>
      </c>
      <c r="BC7" s="91" t="s">
        <v>27</v>
      </c>
      <c r="BD7" s="157" t="s">
        <v>75</v>
      </c>
      <c r="BE7" s="52" t="s">
        <v>35</v>
      </c>
      <c r="BF7" s="52" t="s">
        <v>24</v>
      </c>
      <c r="BG7" s="91" t="s">
        <v>43</v>
      </c>
      <c r="BH7" s="90" t="s">
        <v>49</v>
      </c>
      <c r="BI7" s="91" t="s">
        <v>50</v>
      </c>
      <c r="BJ7" s="92" t="s">
        <v>14</v>
      </c>
      <c r="BK7" s="1"/>
      <c r="BL7" s="1"/>
      <c r="BM7" s="1"/>
      <c r="BN7" s="1"/>
      <c r="BO7" s="1"/>
      <c r="BP7" s="1"/>
      <c r="BQ7" s="1"/>
      <c r="BR7" s="89" t="s">
        <v>12</v>
      </c>
      <c r="BS7" s="90" t="s">
        <v>47</v>
      </c>
      <c r="BT7" s="90" t="s">
        <v>48</v>
      </c>
      <c r="BU7" s="91" t="s">
        <v>25</v>
      </c>
      <c r="BV7" s="91" t="s">
        <v>26</v>
      </c>
      <c r="BW7" s="91" t="s">
        <v>27</v>
      </c>
      <c r="BX7" s="157" t="s">
        <v>75</v>
      </c>
      <c r="BY7" s="52" t="s">
        <v>35</v>
      </c>
      <c r="BZ7" s="52" t="s">
        <v>24</v>
      </c>
      <c r="CA7" s="91" t="s">
        <v>43</v>
      </c>
      <c r="CB7" s="90" t="s">
        <v>49</v>
      </c>
      <c r="CC7" s="91" t="s">
        <v>50</v>
      </c>
      <c r="CD7" s="92" t="s">
        <v>14</v>
      </c>
      <c r="CE7" s="1"/>
      <c r="CF7" s="1"/>
      <c r="CG7" s="1"/>
      <c r="CH7" s="1"/>
      <c r="CI7" s="1"/>
      <c r="CJ7" s="1"/>
      <c r="CK7" s="1"/>
      <c r="CL7" s="89" t="s">
        <v>12</v>
      </c>
      <c r="CM7" s="90" t="s">
        <v>47</v>
      </c>
      <c r="CN7" s="90" t="s">
        <v>48</v>
      </c>
      <c r="CO7" s="91" t="s">
        <v>25</v>
      </c>
      <c r="CP7" s="91" t="s">
        <v>26</v>
      </c>
      <c r="CQ7" s="91" t="s">
        <v>27</v>
      </c>
      <c r="CR7" s="157" t="s">
        <v>75</v>
      </c>
      <c r="CS7" s="52" t="s">
        <v>35</v>
      </c>
      <c r="CT7" s="52" t="s">
        <v>24</v>
      </c>
      <c r="CU7" s="91" t="s">
        <v>43</v>
      </c>
      <c r="CV7" s="90" t="s">
        <v>49</v>
      </c>
      <c r="CW7" s="91" t="s">
        <v>50</v>
      </c>
      <c r="CX7" s="92" t="s">
        <v>14</v>
      </c>
      <c r="DF7" s="93" t="s">
        <v>30</v>
      </c>
      <c r="DG7" s="90" t="s">
        <v>29</v>
      </c>
      <c r="DH7" s="90" t="s">
        <v>51</v>
      </c>
      <c r="DI7" s="90" t="s">
        <v>63</v>
      </c>
      <c r="DJ7" s="91" t="s">
        <v>25</v>
      </c>
      <c r="DK7" s="91" t="s">
        <v>26</v>
      </c>
      <c r="DL7" s="91" t="s">
        <v>27</v>
      </c>
      <c r="DM7" s="157" t="s">
        <v>75</v>
      </c>
      <c r="DN7" s="52" t="s">
        <v>35</v>
      </c>
      <c r="DO7" s="52" t="s">
        <v>24</v>
      </c>
      <c r="DP7" s="90" t="s">
        <v>34</v>
      </c>
      <c r="DQ7" s="90" t="s">
        <v>33</v>
      </c>
      <c r="DR7" s="68" t="s">
        <v>72</v>
      </c>
      <c r="DS7" s="92" t="s">
        <v>21</v>
      </c>
      <c r="DT7" s="8"/>
    </row>
    <row r="8" spans="1:126" ht="24" customHeight="1" thickTop="1">
      <c r="A8" s="85" t="s">
        <v>31</v>
      </c>
      <c r="B8" s="79"/>
      <c r="C8" s="141">
        <f>'Input Output'!D9</f>
        <v>0.25</v>
      </c>
      <c r="E8" s="138" t="s">
        <v>31</v>
      </c>
      <c r="F8" s="6"/>
      <c r="G8" s="82">
        <f>C8</f>
        <v>0.25</v>
      </c>
      <c r="J8" s="94">
        <f>$K$2</f>
        <v>-0.78539816339744828</v>
      </c>
      <c r="K8" s="95">
        <f>$J$2*SIN(J8)</f>
        <v>-0.2</v>
      </c>
      <c r="L8" s="95">
        <f>$J$2*COS(J8)</f>
        <v>0.20000000000000004</v>
      </c>
      <c r="M8" s="95">
        <f t="shared" ref="M8:M28" si="0">$G$10*($G$8+K8*COS($G$7)-L8*SIN($G$7))*COS($G$6)*SIN($G$4)</f>
        <v>4.9802186952807392E-19</v>
      </c>
      <c r="N8" s="95">
        <f t="shared" ref="N8:N28" si="1">$G$10*(SIN($G$4)*(K8*SIN($G$7)+L8*COS($G$7))+$G$9*COS($G$4)*SIN($G$6))</f>
        <v>1.921661087222341</v>
      </c>
      <c r="O8" s="95">
        <f t="shared" ref="O8:O28" si="2">COS($G$4)*SIN($G$6)*(-K8*COS($G$7)+L8*SIN($G$7)-$G$8)</f>
        <v>-1.353056563711281E-2</v>
      </c>
      <c r="P8" s="95">
        <f>SQRT(M8^2+N8^2)</f>
        <v>1.921661087222341</v>
      </c>
      <c r="Q8" s="95">
        <f>ATAN2(N8,M8)</f>
        <v>2.5916217632732425E-19</v>
      </c>
      <c r="R8" s="95">
        <f>ASIN(O8/P8)-Q8</f>
        <v>-7.0411361971620115E-3</v>
      </c>
      <c r="S8" s="95">
        <f t="shared" ref="S8:S28" si="3">($G$10*$G$9*COS($G$6)*COS(R8)-K8*SIN($G$7)-L8*COS($G$7))/(SIN($G$6)*COS($G$4)+$G$10*COS($G$6)*SIN($G$4)*COS(R8))</f>
        <v>0.11285767081869726</v>
      </c>
      <c r="T8" s="95">
        <f t="shared" ref="T8:T28" si="4">$G$10*SIN($G$6)*COS(R8)*($G$9-S8*SIN($G$4))+S8*COS($G$4)*COS($G$6)</f>
        <v>2.2418184293472119</v>
      </c>
      <c r="U8" s="95">
        <f>T$8-T8</f>
        <v>0</v>
      </c>
      <c r="V8" s="96">
        <f>$J$2*(1+J8-$K$2)</f>
        <v>0.28284271247461906</v>
      </c>
      <c r="W8" s="1"/>
      <c r="X8" s="1"/>
      <c r="Y8" s="1"/>
      <c r="Z8" s="1"/>
      <c r="AA8" s="1"/>
      <c r="AB8" s="1"/>
      <c r="AC8" s="1"/>
      <c r="AD8" s="94">
        <f>$AE$2</f>
        <v>-0.44757064850157513</v>
      </c>
      <c r="AE8" s="95">
        <f>$AD$2*SIN(AD8)</f>
        <v>-0.2</v>
      </c>
      <c r="AF8" s="95">
        <f>$AD$2*COS(AD8)</f>
        <v>0.41661255043263179</v>
      </c>
      <c r="AG8" s="95">
        <f t="shared" ref="AG8:AG28" si="5">$G$10*($G$8+AE8*COS($G$7)-AF8*SIN($G$7))*COS($G$6)*SIN($G$4)</f>
        <v>3.3862396168984473E-18</v>
      </c>
      <c r="AH8" s="95">
        <f t="shared" ref="AH8:AH28" si="6">$G$10*(SIN($G$4)*(AE8*SIN($G$7)+AF8*COS($G$7))+$G$9*COS($G$4)*SIN($G$6))</f>
        <v>1.8205500272139232</v>
      </c>
      <c r="AI8" s="95">
        <f t="shared" ref="AI8:AI28" si="7">COS($G$4)*SIN($G$6)*(-AE8*COS($G$7)+AF8*SIN($G$7)-$G$8)</f>
        <v>-9.1999448624320551E-2</v>
      </c>
      <c r="AJ8" s="95">
        <f>SQRT(AG8^2+AH8^2)</f>
        <v>1.8205500272139232</v>
      </c>
      <c r="AK8" s="95">
        <f>ATAN2(AH8,AG8)</f>
        <v>1.8600090996019349E-18</v>
      </c>
      <c r="AL8" s="95">
        <f>ASIN(AI8/AJ8)-AK8</f>
        <v>-5.0555408196219773E-2</v>
      </c>
      <c r="AM8" s="95">
        <f t="shared" ref="AM8:AM28" si="8">($G$10*$G$9*COS($G$6)*COS(AL8)-AE8*SIN($G$7)-AF8*COS($G$7))/(SIN($G$6)*COS($G$4)+$G$10*COS($G$6)*SIN($G$4)*COS(AL8))</f>
        <v>0.34188838753660983</v>
      </c>
      <c r="AN8" s="95">
        <f t="shared" ref="AN8:AN28" si="9">$G$10*SIN($G$6)*COS(AL8)*($G$9-AM8*SIN($G$4))+AM8*COS($G$4)*COS($G$6)</f>
        <v>2.1212008384462933</v>
      </c>
      <c r="AO8" s="95">
        <f>AN$8-AN8</f>
        <v>0</v>
      </c>
      <c r="AP8" s="96">
        <f>$AD$2*(1+AD8-$AE$2)</f>
        <v>0.46213203435596428</v>
      </c>
      <c r="AQ8" s="1"/>
      <c r="AR8" s="1"/>
      <c r="AS8" s="1"/>
      <c r="AT8" s="1"/>
      <c r="AU8" s="1"/>
      <c r="AV8" s="1"/>
      <c r="AW8" s="1"/>
      <c r="AX8" s="94">
        <f>$AY$2</f>
        <v>-0.31709479795396917</v>
      </c>
      <c r="AY8" s="95">
        <f>$AX$2*SIN(AX8)</f>
        <v>-0.19999999999999998</v>
      </c>
      <c r="AZ8" s="95">
        <f>$AX$2*COS(AX8)</f>
        <v>0.60944348075708332</v>
      </c>
      <c r="BA8" s="95">
        <f t="shared" ref="BA8:BA28" si="10">$G$10*($G$8+AY8*COS($G$7)-AZ8*SIN($G$7))*COS($G$6)*SIN($G$4)</f>
        <v>5.9573635618991901E-18</v>
      </c>
      <c r="BB8" s="95">
        <f t="shared" ref="BB8:BB28" si="11">$G$10*(SIN($G$4)*(AY8*SIN($G$7)+AZ8*COS($G$7))+$G$9*COS($G$4)*SIN($G$6))</f>
        <v>1.7305398236104228</v>
      </c>
      <c r="BC8" s="95">
        <f t="shared" ref="BC8:BC28" si="12">COS($G$4)*SIN($G$6)*(-AY8*COS($G$7)+AZ8*SIN($G$7)-$G$8)</f>
        <v>-0.16185333141053387</v>
      </c>
      <c r="BD8" s="95">
        <f>SQRT(BA8^2+BB8^2)</f>
        <v>1.7305398236104228</v>
      </c>
      <c r="BE8" s="95">
        <f>ATAN2(BB8,BA8)</f>
        <v>3.442488569532223E-18</v>
      </c>
      <c r="BF8" s="95">
        <f>ASIN(BC8/BD8)-BE8</f>
        <v>-9.3664548761355229E-2</v>
      </c>
      <c r="BG8" s="95">
        <f t="shared" ref="BG8:BG28" si="13">($G$10*$G$9*COS($G$6)*COS(BF8)-AY8*SIN($G$7)-AZ8*COS($G$7))/(SIN($G$6)*COS($G$4)+$G$10*COS($G$6)*SIN($G$4)*COS(BF8))</f>
        <v>0.5457741092521039</v>
      </c>
      <c r="BH8" s="95">
        <f t="shared" ref="BH8:BH28" si="14">$G$10*SIN($G$6)*COS(BF8)*($G$9-BG8*SIN($G$4))+BG8*COS($G$4)*COS($G$6)</f>
        <v>2.0100560486789609</v>
      </c>
      <c r="BI8" s="95">
        <f>BH$8-BH8</f>
        <v>0</v>
      </c>
      <c r="BJ8" s="96">
        <f>$AX$2*(1+AX8-$AY$2)</f>
        <v>0.64142135623730945</v>
      </c>
      <c r="BK8" s="1"/>
      <c r="BL8" s="1"/>
      <c r="BM8" s="1"/>
      <c r="BN8" s="1"/>
      <c r="BO8" s="1"/>
      <c r="BP8" s="1"/>
      <c r="BQ8" s="1"/>
      <c r="BR8" s="94">
        <f>$BS$2</f>
        <v>-0.24617001790703902</v>
      </c>
      <c r="BS8" s="95">
        <f>$BR$2*SIN(BR8)</f>
        <v>-0.20000000000000004</v>
      </c>
      <c r="BT8" s="95">
        <f>$BR$2*COS(BR8)</f>
        <v>0.79596860313581608</v>
      </c>
      <c r="BU8" s="95">
        <f t="shared" ref="BU8:BU28" si="15">$G$10*($G$8+BS8*COS($G$7)-BT8*SIN($G$7))*COS($G$6)*SIN($G$4)</f>
        <v>8.4444086001885805E-18</v>
      </c>
      <c r="BV8" s="95">
        <f t="shared" ref="BV8:BV28" si="16">$G$10*(SIN($G$4)*(BS8*SIN($G$7)+BT8*COS($G$7))+$G$9*COS($G$4)*SIN($G$6))</f>
        <v>1.6434730640701947</v>
      </c>
      <c r="BW8" s="95">
        <f t="shared" ref="BW8:BW28" si="17">COS($G$4)*SIN($G$6)*(-BS8*COS($G$7)+BT8*SIN($G$7)-$G$8)</f>
        <v>-0.22942290654770231</v>
      </c>
      <c r="BX8" s="95">
        <f>SQRT(BU8^2+BV8^2)</f>
        <v>1.6434730640701947</v>
      </c>
      <c r="BY8" s="95">
        <f>ATAN2(BV8,BU8)</f>
        <v>5.1381484642500416E-18</v>
      </c>
      <c r="BZ8" s="95">
        <f>ASIN(BW8/BX8)-BY8</f>
        <v>-0.14005380179730875</v>
      </c>
      <c r="CA8" s="95">
        <f t="shared" ref="CA8:CA28" si="18">($G$10*$G$9*COS($G$6)*COS(BZ8)-BS8*SIN($G$7)-BT8*COS($G$7))/(SIN($G$6)*COS($G$4)+$G$10*COS($G$6)*SIN($G$4)*COS(BZ8))</f>
        <v>0.74299251778371744</v>
      </c>
      <c r="CB8" s="95">
        <f t="shared" ref="CB8:CB28" si="19">$G$10*SIN($G$6)*COS(BZ8)*($G$9-CA8*SIN($G$4))+CA8*COS($G$4)*COS($G$6)</f>
        <v>1.8985569970349176</v>
      </c>
      <c r="CC8" s="95">
        <f>CB$8-CB8</f>
        <v>0</v>
      </c>
      <c r="CD8" s="96">
        <f>$BR$2*(1+BR8-$BS$2)</f>
        <v>0.82071067811865483</v>
      </c>
      <c r="CE8" s="1"/>
      <c r="CF8" s="1"/>
      <c r="CG8" s="1"/>
      <c r="CH8" s="1"/>
      <c r="CI8" s="1"/>
      <c r="CJ8" s="1"/>
      <c r="CK8" s="1"/>
      <c r="CL8" s="94">
        <f>$CM$2</f>
        <v>-0.20135792079033082</v>
      </c>
      <c r="CM8" s="95">
        <f>$CL$2*SIN(CL8)</f>
        <v>-0.20000000000000004</v>
      </c>
      <c r="CN8" s="95">
        <f>$CL$2*COS(CL8)</f>
        <v>0.9797958971132712</v>
      </c>
      <c r="CO8" s="95">
        <f t="shared" ref="CO8:CO28" si="20">$G$10*($G$8+CM8*COS($G$7)-CN8*SIN($G$7))*COS($G$6)*SIN($G$4)</f>
        <v>1.0895481965311445E-17</v>
      </c>
      <c r="CP8" s="95">
        <f t="shared" ref="CP8:CP28" si="21">$G$10*(SIN($G$4)*(CM8*SIN($G$7)+CN8*COS($G$7))+$G$9*COS($G$4)*SIN($G$6))</f>
        <v>1.5576656050129216</v>
      </c>
      <c r="CQ8" s="95">
        <f t="shared" ref="CQ8:CQ28" si="22">COS($G$4)*SIN($G$6)*(-CM8*COS($G$7)+CN8*SIN($G$7)-$G$8)</f>
        <v>-0.29601518105886077</v>
      </c>
      <c r="CR8" s="95">
        <f>SQRT(CO8^2+CP8^2)</f>
        <v>1.5576656050129216</v>
      </c>
      <c r="CS8" s="95">
        <f>ATAN2(CP8,CO8)</f>
        <v>6.9947503047170787E-18</v>
      </c>
      <c r="CT8" s="95">
        <f>ASIN(CQ8/CR8)-CS8</f>
        <v>-0.19120054099796926</v>
      </c>
      <c r="CU8" s="95">
        <f t="shared" ref="CU8:CU28" si="23">($G$10*$G$9*COS($G$6)*COS(CT8)-CM8*SIN($G$7)-CN8*COS($G$7))/(SIN($G$6)*COS($G$4)+$G$10*COS($G$6)*SIN($G$4)*COS(CT8))</f>
        <v>0.93735843429170418</v>
      </c>
      <c r="CV8" s="95">
        <f t="shared" ref="CV8:CV28" si="24">$G$10*SIN($G$6)*COS(CT8)*($G$9-CU8*SIN($G$4))+CU8*COS($G$4)*COS($G$6)</f>
        <v>1.7841090573164553</v>
      </c>
      <c r="CW8" s="95">
        <f>CV$8-CV8</f>
        <v>0</v>
      </c>
      <c r="CX8" s="96">
        <f>$CL$2*(1+CL8-$CM$2)</f>
        <v>1</v>
      </c>
      <c r="DF8" s="94">
        <f t="shared" ref="DF8:DF28" si="25">(-DI8*COS($G$7)-DH8*SIN($G$7))/SQRT(DH8^2+DI8^2)</f>
        <v>-0.34202014332566866</v>
      </c>
      <c r="DG8" s="95">
        <f t="shared" ref="DG8:DG28" si="26">(-DI8*SIN($G$7)+DH8*COS($G$7))/SQRT(DH8^2+DI8^2)</f>
        <v>-0.93969262078590821</v>
      </c>
      <c r="DH8" s="95">
        <f t="shared" ref="DH8:DH28" si="27">$C$3</f>
        <v>-0.2</v>
      </c>
      <c r="DI8" s="95">
        <f>-$C$3</f>
        <v>0.2</v>
      </c>
      <c r="DJ8" s="95">
        <f t="shared" ref="DJ8:DJ28" si="28">$G$10*($G$8+DH8*COS($G$7)-DI8*SIN($G$7))*COS($G$6)*SIN($G$4)</f>
        <v>4.9802186952807344E-19</v>
      </c>
      <c r="DK8" s="95">
        <f t="shared" ref="DK8:DK28" si="29">$G$10*SIN($G$4)*(DH8*SIN($G$7)+DI8*COS($G$7))+$G$9*(SIN($G$4)*COS($G$6)+$G$10*COS($G$4)*SIN($G$6))</f>
        <v>1.921661087222341</v>
      </c>
      <c r="DL8" s="95">
        <f t="shared" ref="DL8:DL28" si="30">COS($G$4)*SIN($G$6)*(-DH8*COS($G$7)+DI8*SIN($G$7)-$G$8)</f>
        <v>-1.3530565637112761E-2</v>
      </c>
      <c r="DM8" s="95">
        <f t="shared" ref="DM8:DM28" si="31">SQRT(DJ8^2+DK8^2)</f>
        <v>1.921661087222341</v>
      </c>
      <c r="DN8" s="95">
        <f t="shared" ref="DN8:DN28" si="32">ATAN2(DK8,DJ8)</f>
        <v>2.5916217632732396E-19</v>
      </c>
      <c r="DO8" s="95">
        <f t="shared" ref="DO8:DO28" si="33">ASIN(DL8/DM8)-DN8</f>
        <v>-7.0411361971619854E-3</v>
      </c>
      <c r="DP8" s="95">
        <f t="shared" ref="DP8:DP28" si="34">-$G$10*SIN(DO8)*COS($G$4)</f>
        <v>-6.0353818377521153E-3</v>
      </c>
      <c r="DQ8" s="95">
        <f t="shared" ref="DQ8:DQ28" si="35">$G$10*COS($G$4)*COS(DO8)*COS($G$6)-SIN($G$4)*SIN($G$6)</f>
        <v>0.51503807491005427</v>
      </c>
      <c r="DR8" s="95">
        <f>DF8*DP8+DG8*DQ8</f>
        <v>-0.48191325625558468</v>
      </c>
      <c r="DS8" s="96">
        <f t="shared" ref="DS8:DS28" si="36">-ASIN(DR8)*$G$22</f>
        <v>28.810434522410624</v>
      </c>
      <c r="DT8" s="1"/>
    </row>
    <row r="9" spans="1:126" ht="24" customHeight="1">
      <c r="A9" s="85" t="s">
        <v>28</v>
      </c>
      <c r="B9" s="79"/>
      <c r="C9" s="141">
        <f>'Input Output'!D10</f>
        <v>2.2999999999999998</v>
      </c>
      <c r="E9" s="138" t="s">
        <v>28</v>
      </c>
      <c r="F9" s="6"/>
      <c r="G9" s="82">
        <f>C9</f>
        <v>2.2999999999999998</v>
      </c>
      <c r="J9" s="70">
        <f t="shared" ref="J9:J28" si="37">J8+$L$2</f>
        <v>-0.70336768855371479</v>
      </c>
      <c r="K9" s="1">
        <f t="shared" ref="K9:K28" si="38">$J$2*SIN(J9)</f>
        <v>-0.18293977563759917</v>
      </c>
      <c r="L9" s="1">
        <f t="shared" ref="L9:L26" si="39">$J$2*COS(J9)</f>
        <v>0.21571517908961554</v>
      </c>
      <c r="M9" s="1">
        <f t="shared" si="0"/>
        <v>2.1974247775151595E-19</v>
      </c>
      <c r="N9" s="1">
        <f t="shared" si="1"/>
        <v>1.9106121033632582</v>
      </c>
      <c r="O9" s="1">
        <f t="shared" si="2"/>
        <v>-5.9700993076792557E-3</v>
      </c>
      <c r="P9" s="1">
        <f t="shared" ref="P9:P28" si="40">SQRT(M9^2+N9^2)</f>
        <v>1.9106121033632582</v>
      </c>
      <c r="Q9" s="1">
        <f t="shared" ref="Q9:Q28" si="41">ATAN2(N9,M9)</f>
        <v>1.1501155957543783E-19</v>
      </c>
      <c r="R9" s="1">
        <f t="shared" ref="R9:R28" si="42">ASIN(O9/P9)-Q9</f>
        <v>-3.1247101451608848E-3</v>
      </c>
      <c r="S9" s="1">
        <f t="shared" si="3"/>
        <v>0.13788516723738486</v>
      </c>
      <c r="T9" s="1">
        <f t="shared" si="4"/>
        <v>2.2289730072247771</v>
      </c>
      <c r="U9" s="1">
        <f t="shared" ref="U9:U28" si="43">T$8-T9</f>
        <v>1.284542212243478E-2</v>
      </c>
      <c r="V9" s="97">
        <f>$J$2*(1+J9-$K$2)</f>
        <v>0.30604443448500163</v>
      </c>
      <c r="W9" s="1"/>
      <c r="X9" s="1"/>
      <c r="Y9" s="1"/>
      <c r="Z9" s="1"/>
      <c r="AA9" s="1"/>
      <c r="AB9" s="1"/>
      <c r="AC9" s="1"/>
      <c r="AD9" s="70">
        <f>AD8+$AF$2</f>
        <v>-0.38766753715861829</v>
      </c>
      <c r="AE9" s="1">
        <f>$AD$2*SIN(AD9)</f>
        <v>-0.17469980385529083</v>
      </c>
      <c r="AF9" s="1">
        <f>$AD$2*COS(AD9)</f>
        <v>0.42783874966031893</v>
      </c>
      <c r="AG9" s="1">
        <f t="shared" si="5"/>
        <v>2.8124929833259928E-18</v>
      </c>
      <c r="AH9" s="1">
        <f t="shared" si="6"/>
        <v>1.8098028736175062</v>
      </c>
      <c r="AI9" s="1">
        <f t="shared" si="7"/>
        <v>-7.641154584410538E-2</v>
      </c>
      <c r="AJ9" s="1">
        <f t="shared" ref="AJ9:AJ28" si="44">SQRT(AG9^2+AH9^2)</f>
        <v>1.8098028736175062</v>
      </c>
      <c r="AK9" s="1">
        <f t="shared" ref="AK9:AK28" si="45">ATAN2(AH9,AG9)</f>
        <v>1.5540327757930175E-18</v>
      </c>
      <c r="AL9" s="1">
        <f t="shared" ref="AL9:AL28" si="46">ASIN(AI9/AJ9)-AK9</f>
        <v>-4.2233475887576713E-2</v>
      </c>
      <c r="AM9" s="1">
        <f t="shared" si="8"/>
        <v>0.36623219612352315</v>
      </c>
      <c r="AN9" s="1">
        <f t="shared" si="9"/>
        <v>2.109493758880002</v>
      </c>
      <c r="AO9" s="1">
        <f t="shared" ref="AO9:AO28" si="47">AN$8-AN9</f>
        <v>1.1707079566291245E-2</v>
      </c>
      <c r="AP9" s="97">
        <f t="shared" ref="AP9:AP28" si="48">$AD$2*(1+AD9-$AE$2)</f>
        <v>0.48981518106513677</v>
      </c>
      <c r="AQ9" s="1"/>
      <c r="AR9" s="1"/>
      <c r="AS9" s="1"/>
      <c r="AT9" s="1"/>
      <c r="AU9" s="1"/>
      <c r="AV9" s="1"/>
      <c r="AW9" s="1"/>
      <c r="AX9" s="70">
        <f>AX8+$AZ$2</f>
        <v>-0.25324350362642667</v>
      </c>
      <c r="AY9" s="1">
        <f>$AX$2*SIN(AX9)</f>
        <v>-0.16070512107960472</v>
      </c>
      <c r="AZ9" s="1">
        <f>$AX$2*COS(AX9)</f>
        <v>0.62096313924104951</v>
      </c>
      <c r="BA9" s="1">
        <f t="shared" si="10"/>
        <v>4.9873668817931069E-18</v>
      </c>
      <c r="BB9" s="1">
        <f t="shared" si="11"/>
        <v>1.7166095426443935</v>
      </c>
      <c r="BC9" s="1">
        <f t="shared" si="12"/>
        <v>-0.13549986271568773</v>
      </c>
      <c r="BD9" s="1">
        <f t="shared" ref="BD9:BD28" si="49">SQRT(BA9^2+BB9^2)</f>
        <v>1.7166095426443935</v>
      </c>
      <c r="BE9" s="1">
        <f t="shared" ref="BE9:BE28" si="50">ATAN2(BB9,BA9)</f>
        <v>2.9053589403389863E-18</v>
      </c>
      <c r="BF9" s="1">
        <f t="shared" ref="BF9:BF28" si="51">ASIN(BC9/BD9)-BE9</f>
        <v>-7.9016785392033398E-2</v>
      </c>
      <c r="BG9" s="1">
        <f t="shared" si="13"/>
        <v>0.57732814729172066</v>
      </c>
      <c r="BH9" s="1">
        <f t="shared" si="14"/>
        <v>1.9964053368906607</v>
      </c>
      <c r="BI9" s="1">
        <f t="shared" ref="BI9:BI28" si="52">BH$8-BH9</f>
        <v>1.365071178830024E-2</v>
      </c>
      <c r="BJ9" s="97">
        <f t="shared" ref="BJ9:BJ28" si="53">$AX$2*(1+AX9-$AY$2)</f>
        <v>0.68237694004238936</v>
      </c>
      <c r="BK9" s="1"/>
      <c r="BL9" s="1"/>
      <c r="BM9" s="1"/>
      <c r="BN9" s="1"/>
      <c r="BO9" s="1"/>
      <c r="BP9" s="1"/>
      <c r="BQ9" s="1"/>
      <c r="BR9" s="70">
        <f>BR8+$BT$2</f>
        <v>-0.18150163945185718</v>
      </c>
      <c r="BS9" s="1">
        <f>$BR$2*SIN(BR9)</f>
        <v>-0.14814381680799241</v>
      </c>
      <c r="BT9" s="1">
        <f>$BR$2*COS(BR9)</f>
        <v>0.80722947587383254</v>
      </c>
      <c r="BU9" s="1">
        <f t="shared" si="15"/>
        <v>7.1117843952913443E-18</v>
      </c>
      <c r="BV9" s="1">
        <f t="shared" si="16"/>
        <v>1.6269294299329125</v>
      </c>
      <c r="BW9" s="1">
        <f t="shared" si="17"/>
        <v>-0.19321734936794704</v>
      </c>
      <c r="BX9" s="1">
        <f t="shared" ref="BX9:BX28" si="54">SQRT(BU9^2+BV9^2)</f>
        <v>1.6269294299329125</v>
      </c>
      <c r="BY9" s="1">
        <f t="shared" ref="BY9:BY28" si="55">ATAN2(BV9,BU9)</f>
        <v>4.3712924878275779E-18</v>
      </c>
      <c r="BZ9" s="1">
        <f t="shared" ref="BZ9:BZ28" si="56">ASIN(BW9/BX9)-BY9</f>
        <v>-0.11904293801840787</v>
      </c>
      <c r="CA9" s="1">
        <f t="shared" si="18"/>
        <v>0.78046616689060233</v>
      </c>
      <c r="CB9" s="1">
        <f t="shared" si="19"/>
        <v>1.8845973795594224</v>
      </c>
      <c r="CC9" s="1">
        <f t="shared" ref="CC9:CC28" si="57">CB$8-CB9</f>
        <v>1.3959617475495234E-2</v>
      </c>
      <c r="CD9" s="97">
        <f t="shared" ref="CD9:CD28" si="58">$BR$2*(1+BR9-$BS$2)</f>
        <v>0.8737847068534409</v>
      </c>
      <c r="CE9" s="1"/>
      <c r="CF9" s="1"/>
      <c r="CG9" s="1"/>
      <c r="CH9" s="1"/>
      <c r="CI9" s="1"/>
      <c r="CJ9" s="1"/>
      <c r="CK9" s="1"/>
      <c r="CL9" s="70">
        <f>CL8+$CN$2</f>
        <v>-0.13456682406099857</v>
      </c>
      <c r="CM9" s="1">
        <f>$CL$2*SIN(CL9)</f>
        <v>-0.13416106377881312</v>
      </c>
      <c r="CN9" s="1">
        <f>$CL$2*COS(CL9)</f>
        <v>0.99095953952002358</v>
      </c>
      <c r="CO9" s="1">
        <f t="shared" si="20"/>
        <v>9.1617395467347866E-18</v>
      </c>
      <c r="CP9" s="1">
        <f t="shared" si="21"/>
        <v>1.5381238074530272</v>
      </c>
      <c r="CQ9" s="1">
        <f t="shared" si="22"/>
        <v>-0.24891179659378201</v>
      </c>
      <c r="CR9" s="1">
        <f t="shared" ref="CR9:CR28" si="59">SQRT(CO9^2+CP9^2)</f>
        <v>1.5381238074530272</v>
      </c>
      <c r="CS9" s="1">
        <f t="shared" ref="CS9:CS28" si="60">ATAN2(CP9,CO9)</f>
        <v>5.9564382934203929E-18</v>
      </c>
      <c r="CT9" s="1">
        <f t="shared" ref="CT9:CT28" si="61">ASIN(CQ9/CR9)-CS9</f>
        <v>-0.16254298520329363</v>
      </c>
      <c r="CU9" s="1">
        <f t="shared" si="23"/>
        <v>0.98162334359763315</v>
      </c>
      <c r="CV9" s="1">
        <f t="shared" si="24"/>
        <v>1.7707741722569323</v>
      </c>
      <c r="CW9" s="1">
        <f t="shared" ref="CW9:CW28" si="62">CV$8-CV9</f>
        <v>1.3334885059522961E-2</v>
      </c>
      <c r="CX9" s="97">
        <f t="shared" ref="CX9:CX28" si="63">$CL$2*(1+CL9-$CM$2)</f>
        <v>1.0667910967293324</v>
      </c>
      <c r="DF9" s="70">
        <f t="shared" si="25"/>
        <v>-0.46068639160265545</v>
      </c>
      <c r="DG9" s="1">
        <f t="shared" si="26"/>
        <v>-0.88756298288748192</v>
      </c>
      <c r="DH9" s="1">
        <f t="shared" si="27"/>
        <v>-0.2</v>
      </c>
      <c r="DI9" s="1">
        <f t="shared" ref="DI9:DI28" si="64">DI8+(1-$DH$8)/20</f>
        <v>0.26</v>
      </c>
      <c r="DJ9" s="1">
        <f t="shared" si="28"/>
        <v>1.2980358322283459E-18</v>
      </c>
      <c r="DK9" s="1">
        <f t="shared" si="29"/>
        <v>1.8936541061476602</v>
      </c>
      <c r="DL9" s="1">
        <f t="shared" si="30"/>
        <v>-3.5265838915734392E-2</v>
      </c>
      <c r="DM9" s="1">
        <f t="shared" si="31"/>
        <v>1.8936541061476602</v>
      </c>
      <c r="DN9" s="1">
        <f t="shared" si="32"/>
        <v>6.8546617252555935E-19</v>
      </c>
      <c r="DO9" s="1">
        <f t="shared" si="33"/>
        <v>-1.8624244848392958E-2</v>
      </c>
      <c r="DP9" s="1">
        <f t="shared" si="34"/>
        <v>-1.5963170809420477E-2</v>
      </c>
      <c r="DQ9" s="1">
        <f t="shared" si="35"/>
        <v>0.51503807491005427</v>
      </c>
      <c r="DR9" s="1">
        <f t="shared" ref="DR9:DR28" si="65">DF9*DP9+DG9*DQ9</f>
        <v>-0.44977471450906537</v>
      </c>
      <c r="DS9" s="97">
        <f t="shared" si="36"/>
        <v>26.729230787000198</v>
      </c>
      <c r="DT9" s="1"/>
    </row>
    <row r="10" spans="1:126" ht="24" customHeight="1" thickBot="1">
      <c r="A10" s="151"/>
      <c r="B10" s="105"/>
      <c r="C10" s="88"/>
      <c r="E10" s="86" t="s">
        <v>59</v>
      </c>
      <c r="F10" s="87"/>
      <c r="G10" s="150">
        <f>IF(AND($B$32&lt;=$G$6,$G$6&lt;$B$33),1,IF(AND($C$32&lt;$G$6,$G$6&lt;$C$33),-1,"Wrong kappa"))</f>
        <v>-1</v>
      </c>
      <c r="J10" s="70">
        <f t="shared" si="37"/>
        <v>-0.6213372137099813</v>
      </c>
      <c r="K10" s="1">
        <f t="shared" si="38"/>
        <v>-0.16464923987306945</v>
      </c>
      <c r="L10" s="1">
        <f t="shared" si="39"/>
        <v>0.22997962476971839</v>
      </c>
      <c r="M10" s="1">
        <f t="shared" si="0"/>
        <v>-1.1305979529354228E-19</v>
      </c>
      <c r="N10" s="1">
        <f t="shared" si="1"/>
        <v>1.8999725021120482</v>
      </c>
      <c r="O10" s="1">
        <f t="shared" si="2"/>
        <v>3.0716783232580007E-3</v>
      </c>
      <c r="P10" s="1">
        <f t="shared" si="40"/>
        <v>1.8999725021120482</v>
      </c>
      <c r="Q10" s="1">
        <f t="shared" si="41"/>
        <v>-5.9506016622799907E-20</v>
      </c>
      <c r="R10" s="1">
        <f t="shared" si="42"/>
        <v>1.6166969037302828E-3</v>
      </c>
      <c r="S10" s="1">
        <f t="shared" si="3"/>
        <v>0.16198535469417319</v>
      </c>
      <c r="T10" s="1">
        <f t="shared" si="4"/>
        <v>2.2165684780191803</v>
      </c>
      <c r="U10" s="1">
        <f t="shared" si="43"/>
        <v>2.5249951328031539E-2</v>
      </c>
      <c r="V10" s="97">
        <f t="shared" ref="V10:V28" si="66">$J$2*(1+J10-$K$2)</f>
        <v>0.32924615649538425</v>
      </c>
      <c r="W10" s="1"/>
      <c r="X10" s="1"/>
      <c r="Y10" s="1"/>
      <c r="Z10" s="1"/>
      <c r="AA10" s="1"/>
      <c r="AB10" s="1"/>
      <c r="AC10" s="1"/>
      <c r="AD10" s="70">
        <f t="shared" ref="AD10:AD28" si="67">AD9+$AF$2</f>
        <v>-0.32776442581566145</v>
      </c>
      <c r="AE10" s="1">
        <f t="shared" ref="AE10:AE28" si="68">$AD$2*SIN(AD10)</f>
        <v>-0.14877290538586221</v>
      </c>
      <c r="AF10" s="1">
        <f t="shared" ref="AF10:AF28" si="69">$AD$2*COS(AD10)</f>
        <v>0.43753015873312257</v>
      </c>
      <c r="AG10" s="1">
        <f t="shared" si="5"/>
        <v>2.2003622448017909E-18</v>
      </c>
      <c r="AH10" s="1">
        <f t="shared" si="6"/>
        <v>1.7996357231558266</v>
      </c>
      <c r="AI10" s="1">
        <f t="shared" si="7"/>
        <v>-5.9780800001669805E-2</v>
      </c>
      <c r="AJ10" s="1">
        <f t="shared" si="44"/>
        <v>1.7996357231558266</v>
      </c>
      <c r="AK10" s="1">
        <f t="shared" si="45"/>
        <v>1.2226709086121348E-18</v>
      </c>
      <c r="AL10" s="1">
        <f t="shared" si="46"/>
        <v>-3.3224390315397596E-2</v>
      </c>
      <c r="AM10" s="1">
        <f t="shared" si="8"/>
        <v>0.38926221635101838</v>
      </c>
      <c r="AN10" s="1">
        <f t="shared" si="9"/>
        <v>2.0983564585389769</v>
      </c>
      <c r="AO10" s="1">
        <f t="shared" si="47"/>
        <v>2.2844379907316359E-2</v>
      </c>
      <c r="AP10" s="97">
        <f t="shared" si="48"/>
        <v>0.51749832777430926</v>
      </c>
      <c r="AQ10" s="1"/>
      <c r="AR10" s="1"/>
      <c r="AS10" s="1"/>
      <c r="AT10" s="1"/>
      <c r="AU10" s="1"/>
      <c r="AV10" s="1"/>
      <c r="AW10" s="1"/>
      <c r="AX10" s="70">
        <f t="shared" ref="AX10:AX28" si="70">AX9+$AZ$2</f>
        <v>-0.18939220929888415</v>
      </c>
      <c r="AY10" s="1">
        <f t="shared" ref="AY10:AY28" si="71">$AX$2*SIN(AX10)</f>
        <v>-0.12075527191405415</v>
      </c>
      <c r="AZ10" s="1">
        <f t="shared" ref="AZ10:AZ28" si="72">$AX$2*COS(AX10)</f>
        <v>0.62995199860169682</v>
      </c>
      <c r="BA10" s="1">
        <f t="shared" si="10"/>
        <v>3.9648974545860273E-18</v>
      </c>
      <c r="BB10" s="1">
        <f t="shared" si="11"/>
        <v>1.7037180319626013</v>
      </c>
      <c r="BC10" s="1">
        <f t="shared" si="12"/>
        <v>-0.10772078203018252</v>
      </c>
      <c r="BD10" s="1">
        <f t="shared" si="49"/>
        <v>1.7037180319626013</v>
      </c>
      <c r="BE10" s="1">
        <f t="shared" si="50"/>
        <v>2.3272028470689227E-18</v>
      </c>
      <c r="BF10" s="1">
        <f t="shared" si="51"/>
        <v>-6.326908613513052E-2</v>
      </c>
      <c r="BG10" s="1">
        <f t="shared" si="13"/>
        <v>0.60652922510439222</v>
      </c>
      <c r="BH10" s="1">
        <f t="shared" si="14"/>
        <v>1.9836374948642261</v>
      </c>
      <c r="BI10" s="1">
        <f t="shared" si="52"/>
        <v>2.6418553814734791E-2</v>
      </c>
      <c r="BJ10" s="97">
        <f t="shared" si="53"/>
        <v>0.72333252384746938</v>
      </c>
      <c r="BK10" s="1"/>
      <c r="BL10" s="1"/>
      <c r="BM10" s="1"/>
      <c r="BN10" s="1"/>
      <c r="BO10" s="1"/>
      <c r="BP10" s="1"/>
      <c r="BQ10" s="1"/>
      <c r="BR10" s="70">
        <f t="shared" ref="BR10:BR28" si="73">BR9+$BT$2</f>
        <v>-0.11683326099667535</v>
      </c>
      <c r="BS10" s="1">
        <f t="shared" ref="BS10:BS28" si="74">$BR$2*SIN(BR10)</f>
        <v>-9.566831217537107E-2</v>
      </c>
      <c r="BT10" s="1">
        <f t="shared" ref="BT10:BT28" si="75">$BR$2*COS(BR10)</f>
        <v>0.815115691925691</v>
      </c>
      <c r="BU10" s="1">
        <f t="shared" si="15"/>
        <v>5.7164551519776495E-18</v>
      </c>
      <c r="BV10" s="1">
        <f t="shared" si="16"/>
        <v>1.6118262239388086</v>
      </c>
      <c r="BW10" s="1">
        <f t="shared" si="17"/>
        <v>-0.15530818298951232</v>
      </c>
      <c r="BX10" s="1">
        <f t="shared" si="54"/>
        <v>1.6118262239388086</v>
      </c>
      <c r="BY10" s="1">
        <f t="shared" si="55"/>
        <v>3.5465703852418948E-18</v>
      </c>
      <c r="BZ10" s="1">
        <f t="shared" si="56"/>
        <v>-9.6505140145602922E-2</v>
      </c>
      <c r="CA10" s="1">
        <f t="shared" si="18"/>
        <v>0.81467704444722067</v>
      </c>
      <c r="CB10" s="1">
        <f t="shared" si="19"/>
        <v>1.871660738908131</v>
      </c>
      <c r="CC10" s="1">
        <f t="shared" si="57"/>
        <v>2.6896258126786643E-2</v>
      </c>
      <c r="CD10" s="97">
        <f t="shared" si="58"/>
        <v>0.92685873558822696</v>
      </c>
      <c r="CE10" s="1"/>
      <c r="CF10" s="1"/>
      <c r="CG10" s="1"/>
      <c r="CH10" s="1"/>
      <c r="CI10" s="1"/>
      <c r="CJ10" s="1"/>
      <c r="CK10" s="1"/>
      <c r="CL10" s="70">
        <f t="shared" ref="CL10:CL28" si="76">CL9+$CN$2</f>
        <v>-6.7775727331666313E-2</v>
      </c>
      <c r="CM10" s="1">
        <f t="shared" ref="CM10:CM28" si="77">$CL$2*SIN(CL10)</f>
        <v>-6.7723850724803344E-2</v>
      </c>
      <c r="CN10" s="1">
        <f t="shared" ref="CN10:CN28" si="78">$CL$2*COS(CL10)</f>
        <v>0.99770410445332169</v>
      </c>
      <c r="CO10" s="1">
        <f t="shared" si="20"/>
        <v>7.3519679841251242E-18</v>
      </c>
      <c r="CP10" s="1">
        <f t="shared" si="21"/>
        <v>1.5205145365873216</v>
      </c>
      <c r="CQ10" s="1">
        <f t="shared" si="22"/>
        <v>-0.19974280540214145</v>
      </c>
      <c r="CR10" s="1">
        <f t="shared" si="59"/>
        <v>1.5205145365873216</v>
      </c>
      <c r="CS10" s="1">
        <f t="shared" si="60"/>
        <v>4.8351842795439848E-18</v>
      </c>
      <c r="CT10" s="1">
        <f t="shared" si="61"/>
        <v>-0.13174606113723727</v>
      </c>
      <c r="CU10" s="1">
        <f t="shared" si="23"/>
        <v>1.0215108091915714</v>
      </c>
      <c r="CV10" s="1">
        <f t="shared" si="24"/>
        <v>1.7585106277899405</v>
      </c>
      <c r="CW10" s="1">
        <f t="shared" si="62"/>
        <v>2.559842952651481E-2</v>
      </c>
      <c r="CX10" s="97">
        <f t="shared" si="63"/>
        <v>1.1335821934586645</v>
      </c>
      <c r="DF10" s="70">
        <f t="shared" si="25"/>
        <v>-0.54456023556512645</v>
      </c>
      <c r="DG10" s="1">
        <f t="shared" si="26"/>
        <v>-0.83872173564374375</v>
      </c>
      <c r="DH10" s="1">
        <f t="shared" si="27"/>
        <v>-0.2</v>
      </c>
      <c r="DI10" s="1">
        <f t="shared" si="64"/>
        <v>0.32</v>
      </c>
      <c r="DJ10" s="1">
        <f t="shared" si="28"/>
        <v>2.098049794928619E-18</v>
      </c>
      <c r="DK10" s="1">
        <f t="shared" si="29"/>
        <v>1.8656471250729794</v>
      </c>
      <c r="DL10" s="1">
        <f t="shared" si="30"/>
        <v>-5.7001112194356066E-2</v>
      </c>
      <c r="DM10" s="1">
        <f t="shared" si="31"/>
        <v>1.8656471250729794</v>
      </c>
      <c r="DN10" s="1">
        <f t="shared" si="32"/>
        <v>1.1245694680051291E-18</v>
      </c>
      <c r="DO10" s="1">
        <f t="shared" si="33"/>
        <v>-3.055775309402773E-2</v>
      </c>
      <c r="DP10" s="1">
        <f t="shared" si="34"/>
        <v>-2.6189030508512259E-2</v>
      </c>
      <c r="DQ10" s="1">
        <f t="shared" si="35"/>
        <v>0.51503807491005427</v>
      </c>
      <c r="DR10" s="1">
        <f t="shared" si="65"/>
        <v>-0.4177121234882355</v>
      </c>
      <c r="DS10" s="97">
        <f t="shared" si="36"/>
        <v>24.690228320419639</v>
      </c>
      <c r="DT10" s="1"/>
    </row>
    <row r="11" spans="1:126" ht="24" customHeight="1" thickTop="1">
      <c r="A11" s="185" t="s">
        <v>41</v>
      </c>
      <c r="B11" s="185"/>
      <c r="C11" s="185"/>
      <c r="E11" s="186" t="s">
        <v>78</v>
      </c>
      <c r="F11" s="186"/>
      <c r="G11" s="186"/>
      <c r="J11" s="70">
        <f t="shared" si="37"/>
        <v>-0.5393067388662478</v>
      </c>
      <c r="K11" s="1">
        <f t="shared" si="38"/>
        <v>-0.14525140069974485</v>
      </c>
      <c r="L11" s="1">
        <f t="shared" si="39"/>
        <v>0.24269740541415391</v>
      </c>
      <c r="M11" s="1">
        <f t="shared" si="0"/>
        <v>-4.9814677898644462E-19</v>
      </c>
      <c r="N11" s="1">
        <f t="shared" si="1"/>
        <v>1.8898138371955471</v>
      </c>
      <c r="O11" s="1">
        <f t="shared" si="2"/>
        <v>1.3533959254398676E-2</v>
      </c>
      <c r="P11" s="1">
        <f t="shared" si="40"/>
        <v>1.8898138371955471</v>
      </c>
      <c r="Q11" s="1">
        <f t="shared" si="41"/>
        <v>-2.6359568820053003E-19</v>
      </c>
      <c r="R11" s="1">
        <f t="shared" si="42"/>
        <v>7.1615916223520624E-3</v>
      </c>
      <c r="S11" s="1">
        <f t="shared" si="3"/>
        <v>0.18499615397300223</v>
      </c>
      <c r="T11" s="1">
        <f t="shared" si="4"/>
        <v>2.2046633989606095</v>
      </c>
      <c r="U11" s="1">
        <f t="shared" si="43"/>
        <v>3.7155030386602395E-2</v>
      </c>
      <c r="V11" s="97">
        <f t="shared" si="66"/>
        <v>0.35244787850576681</v>
      </c>
      <c r="W11" s="1"/>
      <c r="X11" s="1"/>
      <c r="Y11" s="1"/>
      <c r="Z11" s="1"/>
      <c r="AA11" s="1"/>
      <c r="AB11" s="1"/>
      <c r="AC11" s="1"/>
      <c r="AD11" s="70">
        <f t="shared" si="67"/>
        <v>-0.26786131447270461</v>
      </c>
      <c r="AE11" s="1">
        <f t="shared" si="68"/>
        <v>-0.12231231240961078</v>
      </c>
      <c r="AF11" s="1">
        <f t="shared" si="69"/>
        <v>0.44565201156395101</v>
      </c>
      <c r="AG11" s="1">
        <f t="shared" si="5"/>
        <v>1.5520433039450716E-18</v>
      </c>
      <c r="AH11" s="1">
        <f t="shared" si="6"/>
        <v>1.7900850485477398</v>
      </c>
      <c r="AI11" s="1">
        <f t="shared" si="7"/>
        <v>-4.2166870735154294E-2</v>
      </c>
      <c r="AJ11" s="1">
        <f t="shared" si="44"/>
        <v>1.7900850485477398</v>
      </c>
      <c r="AK11" s="1">
        <f t="shared" si="45"/>
        <v>8.6702210333761143E-19</v>
      </c>
      <c r="AL11" s="1">
        <f t="shared" si="46"/>
        <v>-2.3557970780637736E-2</v>
      </c>
      <c r="AM11" s="1">
        <f t="shared" si="8"/>
        <v>0.41089583240100974</v>
      </c>
      <c r="AN11" s="1">
        <f t="shared" si="9"/>
        <v>2.0877935277694086</v>
      </c>
      <c r="AO11" s="1">
        <f t="shared" si="47"/>
        <v>3.3407310676884627E-2</v>
      </c>
      <c r="AP11" s="97">
        <f t="shared" si="48"/>
        <v>0.54518147448348175</v>
      </c>
      <c r="AQ11" s="1"/>
      <c r="AR11" s="1"/>
      <c r="AS11" s="1"/>
      <c r="AT11" s="1"/>
      <c r="AU11" s="1"/>
      <c r="AV11" s="1"/>
      <c r="AW11" s="1"/>
      <c r="AX11" s="70">
        <f t="shared" si="70"/>
        <v>-0.12554091497134162</v>
      </c>
      <c r="AY11" s="1">
        <f t="shared" si="71"/>
        <v>-8.0313272221388982E-2</v>
      </c>
      <c r="AZ11" s="1">
        <f t="shared" si="72"/>
        <v>0.63637342381843898</v>
      </c>
      <c r="BA11" s="1">
        <f t="shared" si="10"/>
        <v>2.8941224595619913E-18</v>
      </c>
      <c r="BB11" s="1">
        <f t="shared" si="11"/>
        <v>1.6919178322423742</v>
      </c>
      <c r="BC11" s="1">
        <f t="shared" si="12"/>
        <v>-7.8629305853682774E-2</v>
      </c>
      <c r="BD11" s="1">
        <f t="shared" si="49"/>
        <v>1.6919178322423742</v>
      </c>
      <c r="BE11" s="1">
        <f t="shared" si="50"/>
        <v>1.7105573358289401E-18</v>
      </c>
      <c r="BF11" s="1">
        <f t="shared" si="51"/>
        <v>-4.649022288193351E-2</v>
      </c>
      <c r="BG11" s="1">
        <f t="shared" si="13"/>
        <v>0.63325833069494863</v>
      </c>
      <c r="BH11" s="1">
        <f t="shared" si="14"/>
        <v>1.9717151536357815</v>
      </c>
      <c r="BI11" s="1">
        <f t="shared" si="52"/>
        <v>3.834089504317939E-2</v>
      </c>
      <c r="BJ11" s="97">
        <f t="shared" si="53"/>
        <v>0.76428810765254929</v>
      </c>
      <c r="BK11" s="1"/>
      <c r="BL11" s="1"/>
      <c r="BM11" s="1"/>
      <c r="BN11" s="1"/>
      <c r="BO11" s="1"/>
      <c r="BP11" s="1"/>
      <c r="BQ11" s="1"/>
      <c r="BR11" s="70">
        <f t="shared" si="73"/>
        <v>-5.2164882541493512E-2</v>
      </c>
      <c r="BS11" s="1">
        <f t="shared" si="74"/>
        <v>-4.2792862150534509E-2</v>
      </c>
      <c r="BT11" s="1">
        <f t="shared" si="75"/>
        <v>0.81959428263437006</v>
      </c>
      <c r="BU11" s="1">
        <f t="shared" si="15"/>
        <v>4.264254102681491E-18</v>
      </c>
      <c r="BV11" s="1">
        <f t="shared" si="16"/>
        <v>1.5982265856741016</v>
      </c>
      <c r="BW11" s="1">
        <f t="shared" si="17"/>
        <v>-0.11585388827268543</v>
      </c>
      <c r="BX11" s="1">
        <f t="shared" si="54"/>
        <v>1.5982265856741016</v>
      </c>
      <c r="BY11" s="1">
        <f t="shared" si="55"/>
        <v>2.6681161112602252E-18</v>
      </c>
      <c r="BZ11" s="1">
        <f t="shared" si="56"/>
        <v>-7.2552660612923092E-2</v>
      </c>
      <c r="CA11" s="1">
        <f t="shared" si="18"/>
        <v>0.84548213044484444</v>
      </c>
      <c r="CB11" s="1">
        <f t="shared" si="19"/>
        <v>1.85963928618157</v>
      </c>
      <c r="CC11" s="1">
        <f t="shared" si="57"/>
        <v>3.8917710853347609E-2</v>
      </c>
      <c r="CD11" s="97">
        <f t="shared" si="58"/>
        <v>0.97993276432301302</v>
      </c>
      <c r="CE11" s="1"/>
      <c r="CF11" s="1"/>
      <c r="CG11" s="1"/>
      <c r="CH11" s="1"/>
      <c r="CI11" s="1"/>
      <c r="CJ11" s="1"/>
      <c r="CK11" s="1"/>
      <c r="CL11" s="70">
        <f t="shared" si="76"/>
        <v>-9.8463060233405786E-4</v>
      </c>
      <c r="CM11" s="1">
        <f t="shared" si="77"/>
        <v>-9.8463044323459357E-4</v>
      </c>
      <c r="CN11" s="1">
        <f t="shared" si="78"/>
        <v>0.99999951525132769</v>
      </c>
      <c r="CO11" s="1">
        <f t="shared" si="20"/>
        <v>5.4742377590969669E-18</v>
      </c>
      <c r="CP11" s="1">
        <f t="shared" si="21"/>
        <v>1.5049163190650809</v>
      </c>
      <c r="CQ11" s="1">
        <f t="shared" si="22"/>
        <v>-0.14872747131127215</v>
      </c>
      <c r="CR11" s="1">
        <f t="shared" si="59"/>
        <v>1.5049163190650809</v>
      </c>
      <c r="CS11" s="1">
        <f t="shared" si="60"/>
        <v>3.6375695377519725E-18</v>
      </c>
      <c r="CT11" s="1">
        <f t="shared" si="61"/>
        <v>-9.8989320069420197E-2</v>
      </c>
      <c r="CU11" s="1">
        <f t="shared" si="23"/>
        <v>1.056842957211217</v>
      </c>
      <c r="CV11" s="1">
        <f t="shared" si="24"/>
        <v>1.7470907783537357</v>
      </c>
      <c r="CW11" s="1">
        <f t="shared" si="62"/>
        <v>3.7018278962719586E-2</v>
      </c>
      <c r="CX11" s="97">
        <f t="shared" si="63"/>
        <v>1.2003732901879969</v>
      </c>
      <c r="DF11" s="70">
        <f t="shared" si="25"/>
        <v>-0.60517532797976625</v>
      </c>
      <c r="DG11" s="1">
        <f t="shared" si="26"/>
        <v>-0.79609221978649092</v>
      </c>
      <c r="DH11" s="1">
        <f t="shared" si="27"/>
        <v>-0.2</v>
      </c>
      <c r="DI11" s="1">
        <f t="shared" si="64"/>
        <v>0.38</v>
      </c>
      <c r="DJ11" s="1">
        <f t="shared" si="28"/>
        <v>2.898063757628892E-18</v>
      </c>
      <c r="DK11" s="1">
        <f t="shared" si="29"/>
        <v>1.8376401439982986</v>
      </c>
      <c r="DL11" s="1">
        <f t="shared" si="30"/>
        <v>-7.8736385472977732E-2</v>
      </c>
      <c r="DM11" s="1">
        <f t="shared" si="31"/>
        <v>1.8376401439982986</v>
      </c>
      <c r="DN11" s="1">
        <f t="shared" si="32"/>
        <v>1.5770572748391021E-18</v>
      </c>
      <c r="DO11" s="1">
        <f t="shared" si="33"/>
        <v>-4.2859586312883856E-2</v>
      </c>
      <c r="DP11" s="1">
        <f t="shared" si="34"/>
        <v>-3.672658938331063E-2</v>
      </c>
      <c r="DQ11" s="1">
        <f t="shared" si="35"/>
        <v>0.51503807491005427</v>
      </c>
      <c r="DR11" s="1">
        <f t="shared" si="65"/>
        <v>-0.38779177855408287</v>
      </c>
      <c r="DS11" s="97">
        <f t="shared" si="36"/>
        <v>22.817167015082266</v>
      </c>
      <c r="DT11" s="1"/>
    </row>
    <row r="12" spans="1:126" ht="24" customHeight="1" thickBot="1">
      <c r="J12" s="70">
        <f t="shared" si="37"/>
        <v>-0.45727626402251431</v>
      </c>
      <c r="K12" s="1">
        <f t="shared" si="38"/>
        <v>-0.12487671297703708</v>
      </c>
      <c r="L12" s="1">
        <f t="shared" si="39"/>
        <v>0.25378299106924157</v>
      </c>
      <c r="M12" s="1">
        <f t="shared" si="0"/>
        <v>-9.3292867619205103E-19</v>
      </c>
      <c r="N12" s="1">
        <f t="shared" si="1"/>
        <v>1.880204427934874</v>
      </c>
      <c r="O12" s="1">
        <f t="shared" si="2"/>
        <v>2.5346382278197764E-2</v>
      </c>
      <c r="P12" s="1">
        <f t="shared" si="40"/>
        <v>1.880204427934874</v>
      </c>
      <c r="Q12" s="1">
        <f t="shared" si="41"/>
        <v>-4.9618470328608631E-19</v>
      </c>
      <c r="R12" s="1">
        <f t="shared" si="42"/>
        <v>1.3481060705724284E-2</v>
      </c>
      <c r="S12" s="1">
        <f t="shared" si="3"/>
        <v>0.20676281223990695</v>
      </c>
      <c r="T12" s="1">
        <f t="shared" si="4"/>
        <v>2.1933099591507004</v>
      </c>
      <c r="U12" s="1">
        <f t="shared" si="43"/>
        <v>4.8508470196511499E-2</v>
      </c>
      <c r="V12" s="97">
        <f t="shared" si="66"/>
        <v>0.37564960051614937</v>
      </c>
      <c r="W12" s="1"/>
      <c r="X12" s="1"/>
      <c r="Y12" s="1"/>
      <c r="Z12" s="1"/>
      <c r="AA12" s="1"/>
      <c r="AB12" s="1"/>
      <c r="AC12" s="1"/>
      <c r="AD12" s="70">
        <f t="shared" si="67"/>
        <v>-0.20795820312974778</v>
      </c>
      <c r="AE12" s="1">
        <f t="shared" si="68"/>
        <v>-9.5412947271987028E-2</v>
      </c>
      <c r="AF12" s="1">
        <f t="shared" si="69"/>
        <v>0.45217517255025752</v>
      </c>
      <c r="AG12" s="1">
        <f t="shared" si="5"/>
        <v>8.6986188166924504E-19</v>
      </c>
      <c r="AH12" s="1">
        <f t="shared" si="6"/>
        <v>1.7811851110222072</v>
      </c>
      <c r="AI12" s="1">
        <f t="shared" si="7"/>
        <v>-2.3632944666267686E-2</v>
      </c>
      <c r="AJ12" s="1">
        <f t="shared" si="44"/>
        <v>1.7811851110222072</v>
      </c>
      <c r="AK12" s="1">
        <f t="shared" si="45"/>
        <v>4.8836130298104652E-19</v>
      </c>
      <c r="AL12" s="1">
        <f t="shared" si="46"/>
        <v>-1.3268490723090904E-2</v>
      </c>
      <c r="AM12" s="1">
        <f t="shared" si="8"/>
        <v>0.43105543778985256</v>
      </c>
      <c r="AN12" s="1">
        <f t="shared" si="9"/>
        <v>2.0778071217947205</v>
      </c>
      <c r="AO12" s="1">
        <f t="shared" si="47"/>
        <v>4.3393716651572767E-2</v>
      </c>
      <c r="AP12" s="97">
        <f t="shared" si="48"/>
        <v>0.57286462119265424</v>
      </c>
      <c r="AQ12" s="1"/>
      <c r="AR12" s="1"/>
      <c r="AS12" s="1"/>
      <c r="AT12" s="1"/>
      <c r="AU12" s="1"/>
      <c r="AV12" s="1"/>
      <c r="AW12" s="1"/>
      <c r="AX12" s="70">
        <f t="shared" si="70"/>
        <v>-6.1689620643799098E-2</v>
      </c>
      <c r="AY12" s="1">
        <f t="shared" si="71"/>
        <v>-3.9543947529727605E-2</v>
      </c>
      <c r="AZ12" s="1">
        <f t="shared" si="72"/>
        <v>0.64020124371253417</v>
      </c>
      <c r="BA12" s="1">
        <f t="shared" si="10"/>
        <v>1.7794059503135983E-18</v>
      </c>
      <c r="BB12" s="1">
        <f t="shared" si="11"/>
        <v>1.6812570364110055</v>
      </c>
      <c r="BC12" s="1">
        <f t="shared" si="12"/>
        <v>-4.8343999488620823E-2</v>
      </c>
      <c r="BD12" s="1">
        <f t="shared" si="49"/>
        <v>1.6812570364110055</v>
      </c>
      <c r="BE12" s="1">
        <f t="shared" si="50"/>
        <v>1.0583782918239035E-18</v>
      </c>
      <c r="BF12" s="1">
        <f t="shared" si="51"/>
        <v>-2.8758638909481864E-2</v>
      </c>
      <c r="BG12" s="1">
        <f t="shared" si="13"/>
        <v>0.65740652684518641</v>
      </c>
      <c r="BH12" s="1">
        <f t="shared" si="14"/>
        <v>1.9605995624273063</v>
      </c>
      <c r="BI12" s="1">
        <f t="shared" si="52"/>
        <v>4.9456486251654663E-2</v>
      </c>
      <c r="BJ12" s="97">
        <f t="shared" si="53"/>
        <v>0.8052436914576292</v>
      </c>
      <c r="BK12" s="1"/>
      <c r="BL12" s="1"/>
      <c r="BM12" s="1"/>
      <c r="BN12" s="1"/>
      <c r="BO12" s="1"/>
      <c r="BP12" s="1"/>
      <c r="BQ12" s="1"/>
      <c r="BR12" s="70">
        <f t="shared" si="73"/>
        <v>1.2503495913688323E-2</v>
      </c>
      <c r="BS12" s="1">
        <f t="shared" si="74"/>
        <v>1.0261485229629429E-2</v>
      </c>
      <c r="BT12" s="1">
        <f t="shared" si="75"/>
        <v>0.82064652506354063</v>
      </c>
      <c r="BU12" s="1">
        <f t="shared" si="15"/>
        <v>2.7612522348074672E-18</v>
      </c>
      <c r="BV12" s="1">
        <f t="shared" si="16"/>
        <v>1.5861873689970452</v>
      </c>
      <c r="BW12" s="1">
        <f t="shared" si="17"/>
        <v>-7.5019405551588356E-2</v>
      </c>
      <c r="BX12" s="1">
        <f t="shared" si="54"/>
        <v>1.5861873689970452</v>
      </c>
      <c r="BY12" s="1">
        <f t="shared" si="55"/>
        <v>1.740810883239741E-18</v>
      </c>
      <c r="BZ12" s="1">
        <f t="shared" si="56"/>
        <v>-4.7313074834579673E-2</v>
      </c>
      <c r="CA12" s="1">
        <f t="shared" si="18"/>
        <v>0.87275264292922494</v>
      </c>
      <c r="CB12" s="1">
        <f t="shared" si="19"/>
        <v>1.8484283490414088</v>
      </c>
      <c r="CC12" s="1">
        <f t="shared" si="57"/>
        <v>5.0128647993508801E-2</v>
      </c>
      <c r="CD12" s="97">
        <f t="shared" si="58"/>
        <v>1.0330067930577991</v>
      </c>
      <c r="CE12" s="1"/>
      <c r="CF12" s="1"/>
      <c r="CG12" s="1"/>
      <c r="CH12" s="1"/>
      <c r="CI12" s="1"/>
      <c r="CJ12" s="1"/>
      <c r="CK12" s="1"/>
      <c r="CL12" s="70">
        <f t="shared" si="76"/>
        <v>6.5806466126998198E-2</v>
      </c>
      <c r="CM12" s="1">
        <f t="shared" si="77"/>
        <v>6.5758980691883517E-2</v>
      </c>
      <c r="CN12" s="1">
        <f t="shared" si="78"/>
        <v>0.99783553577649486</v>
      </c>
      <c r="CO12" s="1">
        <f t="shared" si="20"/>
        <v>3.5369224076098856E-18</v>
      </c>
      <c r="CP12" s="1">
        <f t="shared" si="21"/>
        <v>1.4913987134595159</v>
      </c>
      <c r="CQ12" s="1">
        <f t="shared" si="22"/>
        <v>-9.6093291716063553E-2</v>
      </c>
      <c r="CR12" s="1">
        <f t="shared" si="59"/>
        <v>1.4913987134595159</v>
      </c>
      <c r="CS12" s="1">
        <f t="shared" si="60"/>
        <v>2.3715471762782202E-18</v>
      </c>
      <c r="CT12" s="1">
        <f t="shared" si="61"/>
        <v>-6.4476322079677378E-2</v>
      </c>
      <c r="CU12" s="1">
        <f t="shared" si="23"/>
        <v>1.0874622277429957</v>
      </c>
      <c r="CV12" s="1">
        <f t="shared" si="24"/>
        <v>1.736300215344345</v>
      </c>
      <c r="CW12" s="1">
        <f t="shared" si="62"/>
        <v>4.7808841972110327E-2</v>
      </c>
      <c r="CX12" s="97">
        <f t="shared" si="63"/>
        <v>1.267164386917329</v>
      </c>
      <c r="DF12" s="70">
        <f t="shared" si="25"/>
        <v>-0.6501915465577337</v>
      </c>
      <c r="DG12" s="1">
        <f t="shared" si="26"/>
        <v>-0.75977032897110575</v>
      </c>
      <c r="DH12" s="1">
        <f t="shared" si="27"/>
        <v>-0.2</v>
      </c>
      <c r="DI12" s="1">
        <f t="shared" si="64"/>
        <v>0.44</v>
      </c>
      <c r="DJ12" s="1">
        <f t="shared" si="28"/>
        <v>3.6980777203291634E-18</v>
      </c>
      <c r="DK12" s="1">
        <f t="shared" si="29"/>
        <v>1.8096331629236175</v>
      </c>
      <c r="DL12" s="1">
        <f t="shared" si="30"/>
        <v>-0.10047165875159932</v>
      </c>
      <c r="DM12" s="1">
        <f t="shared" si="31"/>
        <v>1.8096331629236175</v>
      </c>
      <c r="DN12" s="1">
        <f t="shared" si="32"/>
        <v>2.0435510334893519E-18</v>
      </c>
      <c r="DO12" s="1">
        <f t="shared" si="33"/>
        <v>-5.554901966361344E-2</v>
      </c>
      <c r="DP12" s="1">
        <f t="shared" si="34"/>
        <v>-4.7590319570645051E-2</v>
      </c>
      <c r="DQ12" s="1">
        <f t="shared" si="35"/>
        <v>0.51503807491005427</v>
      </c>
      <c r="DR12" s="1">
        <f t="shared" si="65"/>
        <v>-0.36036782412424245</v>
      </c>
      <c r="DS12" s="97">
        <f t="shared" si="36"/>
        <v>21.122787075882062</v>
      </c>
      <c r="DT12" s="1"/>
    </row>
    <row r="13" spans="1:126" ht="24" customHeight="1" thickTop="1" thickBot="1">
      <c r="A13" s="101" t="s">
        <v>0</v>
      </c>
      <c r="B13" s="102" t="s">
        <v>1</v>
      </c>
      <c r="C13" s="103" t="s">
        <v>2</v>
      </c>
      <c r="E13" s="125" t="s">
        <v>0</v>
      </c>
      <c r="F13" s="126" t="s">
        <v>1</v>
      </c>
      <c r="G13" s="127" t="s">
        <v>2</v>
      </c>
      <c r="J13" s="70">
        <f t="shared" si="37"/>
        <v>-0.37524578917878082</v>
      </c>
      <c r="K13" s="1">
        <f t="shared" si="38"/>
        <v>-0.10366220109197558</v>
      </c>
      <c r="L13" s="1">
        <f t="shared" si="39"/>
        <v>0.2631618286620741</v>
      </c>
      <c r="M13" s="1">
        <f t="shared" si="0"/>
        <v>-1.41448148023272E-18</v>
      </c>
      <c r="N13" s="1">
        <f t="shared" si="1"/>
        <v>1.8712088997825302</v>
      </c>
      <c r="O13" s="1">
        <f t="shared" si="2"/>
        <v>3.8429506175913841E-2</v>
      </c>
      <c r="P13" s="1">
        <f t="shared" si="40"/>
        <v>1.8712088997825302</v>
      </c>
      <c r="Q13" s="1">
        <f t="shared" si="41"/>
        <v>-7.5591852967197275E-19</v>
      </c>
      <c r="R13" s="1">
        <f t="shared" si="42"/>
        <v>2.0538705300989044E-2</v>
      </c>
      <c r="S13" s="1">
        <f t="shared" si="3"/>
        <v>0.2271389437908562</v>
      </c>
      <c r="T13" s="1">
        <f t="shared" si="4"/>
        <v>2.182554372087417</v>
      </c>
      <c r="U13" s="1">
        <f t="shared" si="43"/>
        <v>5.9264057259794889E-2</v>
      </c>
      <c r="V13" s="97">
        <f t="shared" si="66"/>
        <v>0.39885132252653199</v>
      </c>
      <c r="W13" s="1"/>
      <c r="X13" s="1"/>
      <c r="Y13" s="1"/>
      <c r="Z13" s="1"/>
      <c r="AA13" s="1"/>
      <c r="AB13" s="1"/>
      <c r="AC13" s="1"/>
      <c r="AD13" s="70">
        <f t="shared" si="67"/>
        <v>-0.14805509178679094</v>
      </c>
      <c r="AE13" s="1">
        <f t="shared" si="68"/>
        <v>-6.8171306330131562E-2</v>
      </c>
      <c r="AF13" s="1">
        <f t="shared" si="69"/>
        <v>0.45707624109247408</v>
      </c>
      <c r="AG13" s="1">
        <f t="shared" si="5"/>
        <v>1.5626517410038443E-19</v>
      </c>
      <c r="AH13" s="1">
        <f t="shared" si="6"/>
        <v>1.772967837412655</v>
      </c>
      <c r="AI13" s="1">
        <f t="shared" si="7"/>
        <v>-4.2455087302966732E-3</v>
      </c>
      <c r="AJ13" s="1">
        <f t="shared" si="44"/>
        <v>1.772967837412655</v>
      </c>
      <c r="AK13" s="1">
        <f t="shared" si="45"/>
        <v>8.8137624836120479E-20</v>
      </c>
      <c r="AL13" s="1">
        <f t="shared" si="46"/>
        <v>-2.3945796973929363E-3</v>
      </c>
      <c r="AM13" s="1">
        <f t="shared" si="8"/>
        <v>0.44966871376684547</v>
      </c>
      <c r="AN13" s="1">
        <f t="shared" si="9"/>
        <v>2.0683975611919325</v>
      </c>
      <c r="AO13" s="1">
        <f t="shared" si="47"/>
        <v>5.2803277254360736E-2</v>
      </c>
      <c r="AP13" s="97">
        <f t="shared" si="48"/>
        <v>0.60054776790182673</v>
      </c>
      <c r="AQ13" s="1"/>
      <c r="AR13" s="1"/>
      <c r="AS13" s="1"/>
      <c r="AT13" s="1"/>
      <c r="AU13" s="1"/>
      <c r="AV13" s="1"/>
      <c r="AW13" s="1"/>
      <c r="AX13" s="70">
        <f t="shared" si="70"/>
        <v>2.1616736837434258E-3</v>
      </c>
      <c r="AY13" s="1">
        <f t="shared" si="71"/>
        <v>1.3865425861216017E-3</v>
      </c>
      <c r="AZ13" s="1">
        <f t="shared" si="72"/>
        <v>0.64141985761041598</v>
      </c>
      <c r="BA13" s="1">
        <f t="shared" si="10"/>
        <v>6.2529106859287658E-19</v>
      </c>
      <c r="BB13" s="1">
        <f t="shared" si="11"/>
        <v>1.6717790936380814</v>
      </c>
      <c r="BC13" s="1">
        <f t="shared" si="12"/>
        <v>-1.6988293815116049E-2</v>
      </c>
      <c r="BD13" s="1">
        <f t="shared" si="49"/>
        <v>1.6717790936380814</v>
      </c>
      <c r="BE13" s="1">
        <f t="shared" si="50"/>
        <v>3.7402732871370865E-19</v>
      </c>
      <c r="BF13" s="1">
        <f t="shared" si="51"/>
        <v>-1.0161980292952583E-2</v>
      </c>
      <c r="BG13" s="1">
        <f t="shared" si="13"/>
        <v>0.67887539509870343</v>
      </c>
      <c r="BH13" s="1">
        <f t="shared" si="14"/>
        <v>1.9502526218306446</v>
      </c>
      <c r="BI13" s="1">
        <f t="shared" si="52"/>
        <v>5.9803426848316299E-2</v>
      </c>
      <c r="BJ13" s="97">
        <f t="shared" si="53"/>
        <v>0.84619927526270922</v>
      </c>
      <c r="BK13" s="1"/>
      <c r="BL13" s="1"/>
      <c r="BM13" s="1"/>
      <c r="BN13" s="1"/>
      <c r="BO13" s="1"/>
      <c r="BP13" s="1"/>
      <c r="BQ13" s="1"/>
      <c r="BR13" s="70">
        <f t="shared" si="73"/>
        <v>7.7171874368870158E-2</v>
      </c>
      <c r="BS13" s="1">
        <f t="shared" si="74"/>
        <v>6.3272934040334433E-2</v>
      </c>
      <c r="BT13" s="1">
        <f t="shared" si="75"/>
        <v>0.81826802026958734</v>
      </c>
      <c r="BU13" s="1">
        <f t="shared" si="15"/>
        <v>1.2137329107132759E-18</v>
      </c>
      <c r="BV13" s="1">
        <f t="shared" si="16"/>
        <v>1.5757589043579874</v>
      </c>
      <c r="BW13" s="1">
        <f t="shared" si="17"/>
        <v>-3.2975445094192153E-2</v>
      </c>
      <c r="BX13" s="1">
        <f t="shared" si="54"/>
        <v>1.5757589043579874</v>
      </c>
      <c r="BY13" s="1">
        <f t="shared" si="55"/>
        <v>7.7025292851369795E-19</v>
      </c>
      <c r="BZ13" s="1">
        <f t="shared" si="56"/>
        <v>-2.0928234823293888E-2</v>
      </c>
      <c r="CA13" s="1">
        <f t="shared" si="18"/>
        <v>0.89637457637895779</v>
      </c>
      <c r="CB13" s="1">
        <f t="shared" si="19"/>
        <v>1.8379303918190102</v>
      </c>
      <c r="CC13" s="1">
        <f t="shared" si="57"/>
        <v>6.0626605215907459E-2</v>
      </c>
      <c r="CD13" s="97">
        <f t="shared" si="58"/>
        <v>1.0860808217925852</v>
      </c>
      <c r="CE13" s="1"/>
      <c r="CF13" s="1"/>
      <c r="CG13" s="1"/>
      <c r="CH13" s="1"/>
      <c r="CI13" s="1"/>
      <c r="CJ13" s="1"/>
      <c r="CK13" s="1"/>
      <c r="CL13" s="70">
        <f t="shared" si="76"/>
        <v>0.13259756285633045</v>
      </c>
      <c r="CM13" s="1">
        <f t="shared" si="77"/>
        <v>0.13220934672600226</v>
      </c>
      <c r="CN13" s="1">
        <f t="shared" si="78"/>
        <v>0.9912218160625218</v>
      </c>
      <c r="CO13" s="1">
        <f t="shared" si="20"/>
        <v>1.548661179085589E-18</v>
      </c>
      <c r="CP13" s="1">
        <f t="shared" si="21"/>
        <v>1.4800220000787967</v>
      </c>
      <c r="CQ13" s="1">
        <f t="shared" si="22"/>
        <v>-4.2074983078799984E-2</v>
      </c>
      <c r="CR13" s="1">
        <f t="shared" si="59"/>
        <v>1.4800220000787967</v>
      </c>
      <c r="CS13" s="1">
        <f t="shared" si="60"/>
        <v>1.0463771342609353E-18</v>
      </c>
      <c r="CT13" s="1">
        <f t="shared" si="61"/>
        <v>-2.8432450695871567E-2</v>
      </c>
      <c r="CU13" s="1">
        <f t="shared" si="23"/>
        <v>1.1132320774435471</v>
      </c>
      <c r="CV13" s="1">
        <f t="shared" si="24"/>
        <v>1.7259452281105001</v>
      </c>
      <c r="CW13" s="1">
        <f t="shared" si="62"/>
        <v>5.8163829205955198E-2</v>
      </c>
      <c r="CX13" s="97">
        <f t="shared" si="63"/>
        <v>1.3339554836466614</v>
      </c>
      <c r="DF13" s="70">
        <f t="shared" si="25"/>
        <v>-0.68452917296385696</v>
      </c>
      <c r="DG13" s="1">
        <f t="shared" si="26"/>
        <v>-0.72898546718121737</v>
      </c>
      <c r="DH13" s="1">
        <f t="shared" si="27"/>
        <v>-0.2</v>
      </c>
      <c r="DI13" s="1">
        <f t="shared" si="64"/>
        <v>0.5</v>
      </c>
      <c r="DJ13" s="1">
        <f t="shared" si="28"/>
        <v>4.4980916830294367E-18</v>
      </c>
      <c r="DK13" s="1">
        <f t="shared" si="29"/>
        <v>1.7816261818489367</v>
      </c>
      <c r="DL13" s="1">
        <f t="shared" si="30"/>
        <v>-0.122206932030221</v>
      </c>
      <c r="DM13" s="1">
        <f t="shared" si="31"/>
        <v>1.7816261818489367</v>
      </c>
      <c r="DN13" s="1">
        <f t="shared" si="32"/>
        <v>2.5247112603393634E-18</v>
      </c>
      <c r="DO13" s="1">
        <f t="shared" si="33"/>
        <v>-6.8646816654665696E-2</v>
      </c>
      <c r="DP13" s="1">
        <f t="shared" si="34"/>
        <v>-5.8795603209379023E-2</v>
      </c>
      <c r="DQ13" s="1">
        <f t="shared" si="35"/>
        <v>0.51503807491005427</v>
      </c>
      <c r="DR13" s="1">
        <f t="shared" si="65"/>
        <v>-0.33520796601559338</v>
      </c>
      <c r="DS13" s="97">
        <f t="shared" si="36"/>
        <v>19.585184742766224</v>
      </c>
      <c r="DT13" s="1"/>
    </row>
    <row r="14" spans="1:126" ht="24" customHeight="1" thickTop="1">
      <c r="A14" s="62" t="s">
        <v>5</v>
      </c>
      <c r="B14" s="63" t="s">
        <v>3</v>
      </c>
      <c r="C14" s="64">
        <f>'Input Output'!H6</f>
        <v>49</v>
      </c>
      <c r="E14" s="81" t="s">
        <v>5</v>
      </c>
      <c r="F14" s="6" t="s">
        <v>60</v>
      </c>
      <c r="G14" s="121">
        <f>C14*$G$21</f>
        <v>0.85521133347722145</v>
      </c>
      <c r="J14" s="70">
        <f t="shared" si="37"/>
        <v>-0.29321531433504733</v>
      </c>
      <c r="K14" s="1">
        <f t="shared" si="38"/>
        <v>-8.1750537439187657E-2</v>
      </c>
      <c r="L14" s="1">
        <f t="shared" si="39"/>
        <v>0.27077084338680929</v>
      </c>
      <c r="M14" s="1">
        <f t="shared" si="0"/>
        <v>-1.9395666394950922E-18</v>
      </c>
      <c r="N14" s="1">
        <f t="shared" si="1"/>
        <v>1.8628877497016034</v>
      </c>
      <c r="O14" s="1">
        <f t="shared" si="2"/>
        <v>5.2695343977787412E-2</v>
      </c>
      <c r="P14" s="1">
        <f t="shared" si="40"/>
        <v>1.8628877497016034</v>
      </c>
      <c r="Q14" s="1">
        <f t="shared" si="41"/>
        <v>-1.0411613044348868E-18</v>
      </c>
      <c r="R14" s="1">
        <f t="shared" si="42"/>
        <v>2.8290686798611863E-2</v>
      </c>
      <c r="S14" s="1">
        <f t="shared" si="3"/>
        <v>0.24598751452874873</v>
      </c>
      <c r="T14" s="1">
        <f t="shared" si="4"/>
        <v>2.1724374048342225</v>
      </c>
      <c r="U14" s="1">
        <f t="shared" si="43"/>
        <v>6.9381024512989331E-2</v>
      </c>
      <c r="V14" s="97">
        <f t="shared" si="66"/>
        <v>0.42205304453691456</v>
      </c>
      <c r="W14" s="1"/>
      <c r="X14" s="1"/>
      <c r="Y14" s="1"/>
      <c r="Z14" s="1"/>
      <c r="AA14" s="1"/>
      <c r="AB14" s="1"/>
      <c r="AC14" s="1"/>
      <c r="AD14" s="70">
        <f t="shared" si="67"/>
        <v>-8.8151980443834085E-2</v>
      </c>
      <c r="AE14" s="1">
        <f t="shared" si="68"/>
        <v>-4.0685113790544208E-2</v>
      </c>
      <c r="AF14" s="1">
        <f t="shared" si="69"/>
        <v>0.46033763553921225</v>
      </c>
      <c r="AG14" s="1">
        <f t="shared" si="5"/>
        <v>-5.8618692627350161E-19</v>
      </c>
      <c r="AH14" s="1">
        <f t="shared" si="6"/>
        <v>1.7654627056255272</v>
      </c>
      <c r="AI14" s="1">
        <f t="shared" si="7"/>
        <v>1.5925888333130529E-2</v>
      </c>
      <c r="AJ14" s="1">
        <f t="shared" si="44"/>
        <v>1.7654627056255272</v>
      </c>
      <c r="AK14" s="1">
        <f t="shared" si="45"/>
        <v>-3.3203019492037792E-19</v>
      </c>
      <c r="AL14" s="1">
        <f t="shared" si="46"/>
        <v>9.0209236846369827E-3</v>
      </c>
      <c r="AM14" s="1">
        <f t="shared" si="8"/>
        <v>0.46666888874399576</v>
      </c>
      <c r="AN14" s="1">
        <f t="shared" si="9"/>
        <v>2.059563950445515</v>
      </c>
      <c r="AO14" s="1">
        <f t="shared" si="47"/>
        <v>6.1636888000778267E-2</v>
      </c>
      <c r="AP14" s="97">
        <f t="shared" si="48"/>
        <v>0.62823091461099911</v>
      </c>
      <c r="AQ14" s="1"/>
      <c r="AR14" s="1"/>
      <c r="AS14" s="1"/>
      <c r="AT14" s="1"/>
      <c r="AU14" s="1"/>
      <c r="AV14" s="1"/>
      <c r="AW14" s="1"/>
      <c r="AX14" s="70">
        <f t="shared" si="70"/>
        <v>6.601296801128595E-2</v>
      </c>
      <c r="AY14" s="1">
        <f t="shared" si="71"/>
        <v>4.23113817050925E-2</v>
      </c>
      <c r="AZ14" s="1">
        <f t="shared" si="72"/>
        <v>0.64002429892584189</v>
      </c>
      <c r="BA14" s="1">
        <f t="shared" si="10"/>
        <v>-5.6351847173007722E-19</v>
      </c>
      <c r="BB14" s="1">
        <f t="shared" si="11"/>
        <v>1.6635226322539243</v>
      </c>
      <c r="BC14" s="1">
        <f t="shared" si="12"/>
        <v>1.5310017764269051E-2</v>
      </c>
      <c r="BD14" s="1">
        <f t="shared" si="49"/>
        <v>1.6635226322539243</v>
      </c>
      <c r="BE14" s="1">
        <f t="shared" si="50"/>
        <v>-3.3875010823661603E-19</v>
      </c>
      <c r="BF14" s="1">
        <f t="shared" si="51"/>
        <v>9.2035020187443122E-3</v>
      </c>
      <c r="BG14" s="1">
        <f t="shared" si="13"/>
        <v>0.69757743687543716</v>
      </c>
      <c r="BH14" s="1">
        <f t="shared" si="14"/>
        <v>1.9406388665367513</v>
      </c>
      <c r="BI14" s="1">
        <f t="shared" si="52"/>
        <v>6.9417182142209599E-2</v>
      </c>
      <c r="BJ14" s="97">
        <f t="shared" si="53"/>
        <v>0.88715485906778913</v>
      </c>
      <c r="BK14" s="1"/>
      <c r="BL14" s="1"/>
      <c r="BM14" s="1"/>
      <c r="BN14" s="1"/>
      <c r="BO14" s="1"/>
      <c r="BP14" s="1"/>
      <c r="BQ14" s="1"/>
      <c r="BR14" s="70">
        <f t="shared" si="73"/>
        <v>0.14184025282405199</v>
      </c>
      <c r="BS14" s="1">
        <f t="shared" si="74"/>
        <v>0.11601986769606332</v>
      </c>
      <c r="BT14" s="1">
        <f t="shared" si="75"/>
        <v>0.81246871169157653</v>
      </c>
      <c r="BU14" s="1">
        <f t="shared" si="15"/>
        <v>-3.718344001502077E-19</v>
      </c>
      <c r="BV14" s="1">
        <f t="shared" si="16"/>
        <v>1.5669847883908132</v>
      </c>
      <c r="BW14" s="1">
        <f t="shared" si="17"/>
        <v>1.0102226559119482E-2</v>
      </c>
      <c r="BX14" s="1">
        <f t="shared" si="54"/>
        <v>1.5669847883908132</v>
      </c>
      <c r="BY14" s="1">
        <f t="shared" si="55"/>
        <v>-2.3729292262757465E-19</v>
      </c>
      <c r="BZ14" s="1">
        <f t="shared" si="56"/>
        <v>6.4469652894645112E-3</v>
      </c>
      <c r="CA14" s="1">
        <f t="shared" si="18"/>
        <v>0.91624917831034536</v>
      </c>
      <c r="CB14" s="1">
        <f t="shared" si="19"/>
        <v>1.8280587962729489</v>
      </c>
      <c r="CC14" s="1">
        <f t="shared" si="57"/>
        <v>7.0498200761968777E-2</v>
      </c>
      <c r="CD14" s="97">
        <f t="shared" si="58"/>
        <v>1.1391548505273714</v>
      </c>
      <c r="CE14" s="1"/>
      <c r="CF14" s="1"/>
      <c r="CG14" s="1"/>
      <c r="CH14" s="1"/>
      <c r="CI14" s="1"/>
      <c r="CJ14" s="1"/>
      <c r="CK14" s="1"/>
      <c r="CL14" s="70">
        <f t="shared" si="76"/>
        <v>0.19938865958566271</v>
      </c>
      <c r="CM14" s="1">
        <f t="shared" si="77"/>
        <v>0.19807013939955781</v>
      </c>
      <c r="CN14" s="1">
        <f t="shared" si="78"/>
        <v>0.98018784928106495</v>
      </c>
      <c r="CO14" s="1">
        <f t="shared" si="20"/>
        <v>-4.8167948939558667E-19</v>
      </c>
      <c r="CP14" s="1">
        <f t="shared" si="21"/>
        <v>1.4708369121525031</v>
      </c>
      <c r="CQ14" s="1">
        <f t="shared" si="22"/>
        <v>1.3086565763655843E-2</v>
      </c>
      <c r="CR14" s="1">
        <f t="shared" si="59"/>
        <v>1.4708369121525031</v>
      </c>
      <c r="CS14" s="1">
        <f t="shared" si="60"/>
        <v>-3.2748667470594722E-19</v>
      </c>
      <c r="CT14" s="1">
        <f t="shared" si="61"/>
        <v>8.8974775678304484E-3</v>
      </c>
      <c r="CU14" s="1">
        <f t="shared" si="23"/>
        <v>1.1340375884400782</v>
      </c>
      <c r="CV14" s="1">
        <f t="shared" si="24"/>
        <v>1.7158595432315709</v>
      </c>
      <c r="CW14" s="1">
        <f t="shared" si="62"/>
        <v>6.8249514084884444E-2</v>
      </c>
      <c r="CX14" s="97">
        <f t="shared" si="63"/>
        <v>1.4007465803759935</v>
      </c>
      <c r="DF14" s="70">
        <f t="shared" si="25"/>
        <v>-0.71136612439769098</v>
      </c>
      <c r="DG14" s="1">
        <f t="shared" si="26"/>
        <v>-0.70282162534985282</v>
      </c>
      <c r="DH14" s="1">
        <f t="shared" si="27"/>
        <v>-0.2</v>
      </c>
      <c r="DI14" s="1">
        <f t="shared" si="64"/>
        <v>0.56000000000000005</v>
      </c>
      <c r="DJ14" s="1">
        <f t="shared" si="28"/>
        <v>5.2981056457297108E-18</v>
      </c>
      <c r="DK14" s="1">
        <f t="shared" si="29"/>
        <v>1.7536192007742559</v>
      </c>
      <c r="DL14" s="1">
        <f t="shared" si="30"/>
        <v>-0.14394220530884266</v>
      </c>
      <c r="DM14" s="1">
        <f t="shared" si="31"/>
        <v>1.7536192007742559</v>
      </c>
      <c r="DN14" s="1">
        <f t="shared" si="32"/>
        <v>3.0212406680940181E-18</v>
      </c>
      <c r="DO14" s="1">
        <f t="shared" si="33"/>
        <v>-8.2175386182970933E-2</v>
      </c>
      <c r="DP14" s="1">
        <f t="shared" si="34"/>
        <v>-7.0358805108437561E-2</v>
      </c>
      <c r="DQ14" s="1">
        <f t="shared" si="35"/>
        <v>0.51503807491005427</v>
      </c>
      <c r="DR14" s="1">
        <f t="shared" si="65"/>
        <v>-0.31192902641810194</v>
      </c>
      <c r="DS14" s="97">
        <f t="shared" si="36"/>
        <v>18.175521099431212</v>
      </c>
      <c r="DT14" s="1"/>
    </row>
    <row r="15" spans="1:126" ht="24" customHeight="1">
      <c r="A15" s="78" t="s">
        <v>6</v>
      </c>
      <c r="B15" s="79" t="s">
        <v>3</v>
      </c>
      <c r="C15" s="80">
        <f>'Input Output'!H7</f>
        <v>43</v>
      </c>
      <c r="E15" s="81" t="s">
        <v>6</v>
      </c>
      <c r="F15" s="6" t="s">
        <v>60</v>
      </c>
      <c r="G15" s="121">
        <f>C15*$G$21</f>
        <v>0.75049157835756175</v>
      </c>
      <c r="J15" s="70">
        <f t="shared" si="37"/>
        <v>-0.21118483949131384</v>
      </c>
      <c r="K15" s="1">
        <f t="shared" si="38"/>
        <v>-5.928908291674851E-2</v>
      </c>
      <c r="L15" s="1">
        <f t="shared" si="39"/>
        <v>0.27655886289701687</v>
      </c>
      <c r="M15" s="1">
        <f t="shared" si="0"/>
        <v>-2.5046528374227887E-18</v>
      </c>
      <c r="N15" s="1">
        <f t="shared" si="1"/>
        <v>1.8552969393099963</v>
      </c>
      <c r="O15" s="1">
        <f t="shared" si="2"/>
        <v>6.8047954695329829E-2</v>
      </c>
      <c r="P15" s="1">
        <f t="shared" si="40"/>
        <v>1.8552969393099963</v>
      </c>
      <c r="Q15" s="1">
        <f t="shared" si="41"/>
        <v>-1.3500010614766035E-18</v>
      </c>
      <c r="R15" s="1">
        <f t="shared" si="42"/>
        <v>3.6685890773319796E-2</v>
      </c>
      <c r="S15" s="1">
        <f t="shared" si="3"/>
        <v>0.26318176354873568</v>
      </c>
      <c r="T15" s="1">
        <f t="shared" si="4"/>
        <v>2.1629950161007532</v>
      </c>
      <c r="U15" s="1">
        <f t="shared" si="43"/>
        <v>7.8823413246458696E-2</v>
      </c>
      <c r="V15" s="97">
        <f t="shared" si="66"/>
        <v>0.44525476654729718</v>
      </c>
      <c r="W15" s="1"/>
      <c r="X15" s="1"/>
      <c r="Y15" s="1"/>
      <c r="Z15" s="1"/>
      <c r="AA15" s="1"/>
      <c r="AB15" s="1"/>
      <c r="AC15" s="1"/>
      <c r="AD15" s="70">
        <f t="shared" si="67"/>
        <v>-2.8248869100877233E-2</v>
      </c>
      <c r="AE15" s="1">
        <f t="shared" si="68"/>
        <v>-1.3052971142076774E-2</v>
      </c>
      <c r="AF15" s="1">
        <f t="shared" si="69"/>
        <v>0.46194765625809409</v>
      </c>
      <c r="AG15" s="1">
        <f t="shared" si="5"/>
        <v>-1.3548310137299756E-18</v>
      </c>
      <c r="AH15" s="1">
        <f t="shared" si="6"/>
        <v>1.7586966388939049</v>
      </c>
      <c r="AI15" s="1">
        <f t="shared" si="7"/>
        <v>3.6808885472922229E-2</v>
      </c>
      <c r="AJ15" s="1">
        <f t="shared" si="44"/>
        <v>1.7586966388939049</v>
      </c>
      <c r="AK15" s="1">
        <f t="shared" si="45"/>
        <v>-7.7036083641012013E-19</v>
      </c>
      <c r="AL15" s="1">
        <f t="shared" si="46"/>
        <v>2.0931167173885892E-2</v>
      </c>
      <c r="AM15" s="1">
        <f t="shared" si="8"/>
        <v>0.48199497782639378</v>
      </c>
      <c r="AN15" s="1">
        <f t="shared" si="9"/>
        <v>2.0513048000325784</v>
      </c>
      <c r="AO15" s="1">
        <f t="shared" si="47"/>
        <v>6.9896038413714834E-2</v>
      </c>
      <c r="AP15" s="97">
        <f t="shared" si="48"/>
        <v>0.6559140613201716</v>
      </c>
      <c r="AQ15" s="1"/>
      <c r="AR15" s="1"/>
      <c r="AS15" s="1"/>
      <c r="AT15" s="1"/>
      <c r="AU15" s="1"/>
      <c r="AV15" s="1"/>
      <c r="AW15" s="1"/>
      <c r="AX15" s="70">
        <f t="shared" si="70"/>
        <v>0.12986426233882847</v>
      </c>
      <c r="AY15" s="1">
        <f t="shared" si="71"/>
        <v>8.3063776437337755E-2</v>
      </c>
      <c r="AZ15" s="1">
        <f t="shared" si="72"/>
        <v>0.63602025540172646</v>
      </c>
      <c r="BA15" s="1">
        <f t="shared" si="10"/>
        <v>-1.7821775551366185E-18</v>
      </c>
      <c r="BB15" s="1">
        <f t="shared" si="11"/>
        <v>1.65652130231586</v>
      </c>
      <c r="BC15" s="1">
        <f t="shared" si="12"/>
        <v>4.8419300159680816E-2</v>
      </c>
      <c r="BD15" s="1">
        <f t="shared" si="49"/>
        <v>1.65652130231586</v>
      </c>
      <c r="BE15" s="1">
        <f t="shared" si="50"/>
        <v>-1.0758555007080729E-18</v>
      </c>
      <c r="BF15" s="1">
        <f t="shared" si="51"/>
        <v>2.9233670199283409E-2</v>
      </c>
      <c r="BG15" s="1">
        <f t="shared" si="13"/>
        <v>0.71343643008112545</v>
      </c>
      <c r="BH15" s="1">
        <f t="shared" si="14"/>
        <v>1.9317273461389428</v>
      </c>
      <c r="BI15" s="1">
        <f t="shared" si="52"/>
        <v>7.8328702540018114E-2</v>
      </c>
      <c r="BJ15" s="97">
        <f t="shared" si="53"/>
        <v>0.92811044287286903</v>
      </c>
      <c r="BK15" s="1"/>
      <c r="BL15" s="1"/>
      <c r="BM15" s="1"/>
      <c r="BN15" s="1"/>
      <c r="BO15" s="1"/>
      <c r="BP15" s="1"/>
      <c r="BQ15" s="1"/>
      <c r="BR15" s="70">
        <f t="shared" si="73"/>
        <v>0.20650863127923383</v>
      </c>
      <c r="BS15" s="1">
        <f t="shared" si="74"/>
        <v>0.16828177542800046</v>
      </c>
      <c r="BT15" s="1">
        <f t="shared" si="75"/>
        <v>0.80327284358229256</v>
      </c>
      <c r="BU15" s="1">
        <f t="shared" si="15"/>
        <v>-1.9888211671273495E-18</v>
      </c>
      <c r="BV15" s="1">
        <f t="shared" si="16"/>
        <v>1.5599017016553869</v>
      </c>
      <c r="BW15" s="1">
        <f t="shared" si="17"/>
        <v>5.4033521394945334E-2</v>
      </c>
      <c r="BX15" s="1">
        <f t="shared" si="54"/>
        <v>1.5599017016553869</v>
      </c>
      <c r="BY15" s="1">
        <f t="shared" si="55"/>
        <v>-1.2749657013751495E-18</v>
      </c>
      <c r="BZ15" s="1">
        <f t="shared" si="56"/>
        <v>3.4645986126553022E-2</v>
      </c>
      <c r="CA15" s="1">
        <f t="shared" si="18"/>
        <v>0.93229336211629921</v>
      </c>
      <c r="CB15" s="1">
        <f t="shared" si="19"/>
        <v>1.8187413173855151</v>
      </c>
      <c r="CC15" s="1">
        <f t="shared" si="57"/>
        <v>7.9815679649402504E-2</v>
      </c>
      <c r="CD15" s="97">
        <f t="shared" si="58"/>
        <v>1.1922288792621576</v>
      </c>
      <c r="CE15" s="1"/>
      <c r="CF15" s="1"/>
      <c r="CG15" s="1"/>
      <c r="CH15" s="1"/>
      <c r="CI15" s="1"/>
      <c r="CJ15" s="1"/>
      <c r="CK15" s="1"/>
      <c r="CL15" s="70">
        <f t="shared" si="76"/>
        <v>0.26617975631499496</v>
      </c>
      <c r="CM15" s="1">
        <f t="shared" si="77"/>
        <v>0.26304765959196996</v>
      </c>
      <c r="CN15" s="1">
        <f t="shared" si="78"/>
        <v>0.96478284022011251</v>
      </c>
      <c r="CO15" s="1">
        <f t="shared" si="20"/>
        <v>-2.5450455120171123E-18</v>
      </c>
      <c r="CP15" s="1">
        <f t="shared" si="21"/>
        <v>1.4638844095922443</v>
      </c>
      <c r="CQ15" s="1">
        <f t="shared" si="22"/>
        <v>6.9145367817719239E-2</v>
      </c>
      <c r="CR15" s="1">
        <f t="shared" si="59"/>
        <v>1.4638844095922443</v>
      </c>
      <c r="CS15" s="1">
        <f t="shared" si="60"/>
        <v>-1.738556333642503E-18</v>
      </c>
      <c r="CT15" s="1">
        <f t="shared" si="61"/>
        <v>4.7251753305867873E-2</v>
      </c>
      <c r="CU15" s="1">
        <f t="shared" si="23"/>
        <v>1.1497859807942543</v>
      </c>
      <c r="CV15" s="1">
        <f t="shared" si="24"/>
        <v>1.7059102516428257</v>
      </c>
      <c r="CW15" s="1">
        <f t="shared" si="62"/>
        <v>7.8198805673629579E-2</v>
      </c>
      <c r="CX15" s="97">
        <f t="shared" si="63"/>
        <v>1.4675376771053259</v>
      </c>
      <c r="DF15" s="70">
        <f t="shared" si="25"/>
        <v>-0.73279595006575526</v>
      </c>
      <c r="DG15" s="1">
        <f t="shared" si="26"/>
        <v>-0.68044845180750257</v>
      </c>
      <c r="DH15" s="1">
        <f t="shared" si="27"/>
        <v>-0.2</v>
      </c>
      <c r="DI15" s="1">
        <f t="shared" si="64"/>
        <v>0.62000000000000011</v>
      </c>
      <c r="DJ15" s="1">
        <f t="shared" si="28"/>
        <v>6.0981196084299834E-18</v>
      </c>
      <c r="DK15" s="1">
        <f t="shared" si="29"/>
        <v>1.7256122196995749</v>
      </c>
      <c r="DL15" s="1">
        <f t="shared" si="30"/>
        <v>-0.16567747858746434</v>
      </c>
      <c r="DM15" s="1">
        <f t="shared" si="31"/>
        <v>1.7256122196995749</v>
      </c>
      <c r="DN15" s="1">
        <f t="shared" si="32"/>
        <v>3.533887590047115E-18</v>
      </c>
      <c r="DO15" s="1">
        <f t="shared" si="33"/>
        <v>-9.6158961128157486E-2</v>
      </c>
      <c r="DP15" s="1">
        <f t="shared" si="34"/>
        <v>-8.2297352491322195E-2</v>
      </c>
      <c r="DQ15" s="1">
        <f t="shared" si="35"/>
        <v>0.51503807491005427</v>
      </c>
      <c r="DR15" s="1">
        <f t="shared" si="65"/>
        <v>-0.29014969408768815</v>
      </c>
      <c r="DS15" s="97">
        <f t="shared" si="36"/>
        <v>16.866918200079592</v>
      </c>
      <c r="DT15" s="1"/>
    </row>
    <row r="16" spans="1:126" ht="24" customHeight="1">
      <c r="A16" s="78" t="s">
        <v>9</v>
      </c>
      <c r="B16" s="79" t="s">
        <v>3</v>
      </c>
      <c r="C16" s="80">
        <f>'Input Output'!H8</f>
        <v>55</v>
      </c>
      <c r="E16" s="81" t="s">
        <v>9</v>
      </c>
      <c r="F16" s="6" t="s">
        <v>60</v>
      </c>
      <c r="G16" s="121">
        <f>C16*$G$21</f>
        <v>0.95993108859688125</v>
      </c>
      <c r="J16" s="70">
        <f t="shared" si="37"/>
        <v>-0.12915436464758034</v>
      </c>
      <c r="K16" s="1">
        <f t="shared" si="38"/>
        <v>-3.6428895890784609E-2</v>
      </c>
      <c r="L16" s="1">
        <f t="shared" si="39"/>
        <v>0.28048696145129171</v>
      </c>
      <c r="M16" s="1">
        <f t="shared" si="0"/>
        <v>-3.1059397414196189E-18</v>
      </c>
      <c r="N16" s="1">
        <f t="shared" si="1"/>
        <v>1.8484875185258778</v>
      </c>
      <c r="O16" s="1">
        <f t="shared" si="2"/>
        <v>8.4384088546188368E-2</v>
      </c>
      <c r="P16" s="1">
        <f t="shared" si="40"/>
        <v>1.8484875185258778</v>
      </c>
      <c r="Q16" s="1">
        <f t="shared" si="41"/>
        <v>-1.6802600560140798E-18</v>
      </c>
      <c r="R16" s="1">
        <f t="shared" si="42"/>
        <v>4.5666213039687369E-2</v>
      </c>
      <c r="S16" s="1">
        <f t="shared" si="3"/>
        <v>0.27860605563399982</v>
      </c>
      <c r="T16" s="1">
        <f t="shared" si="4"/>
        <v>2.1542590708062179</v>
      </c>
      <c r="U16" s="1">
        <f t="shared" si="43"/>
        <v>8.7559358540993948E-2</v>
      </c>
      <c r="V16" s="97">
        <f t="shared" si="66"/>
        <v>0.46845648855767974</v>
      </c>
      <c r="W16" s="1"/>
      <c r="X16" s="1"/>
      <c r="Y16" s="1"/>
      <c r="Z16" s="1"/>
      <c r="AA16" s="1"/>
      <c r="AB16" s="1"/>
      <c r="AC16" s="1"/>
      <c r="AD16" s="70">
        <f t="shared" si="67"/>
        <v>3.1654242242079619E-2</v>
      </c>
      <c r="AE16" s="1">
        <f t="shared" si="68"/>
        <v>1.462599655815781E-2</v>
      </c>
      <c r="AF16" s="1">
        <f t="shared" si="69"/>
        <v>0.46190052760595857</v>
      </c>
      <c r="AG16" s="1">
        <f t="shared" si="5"/>
        <v>-2.1469097237737106E-18</v>
      </c>
      <c r="AH16" s="1">
        <f t="shared" si="6"/>
        <v>1.7526939091955251</v>
      </c>
      <c r="AI16" s="1">
        <f t="shared" si="7"/>
        <v>5.8328568908033382E-2</v>
      </c>
      <c r="AJ16" s="1">
        <f t="shared" si="44"/>
        <v>1.7526939091955251</v>
      </c>
      <c r="AK16" s="1">
        <f t="shared" si="45"/>
        <v>-1.2249199432427582E-18</v>
      </c>
      <c r="AL16" s="1">
        <f t="shared" si="46"/>
        <v>3.3285527279170737E-2</v>
      </c>
      <c r="AM16" s="1">
        <f t="shared" si="8"/>
        <v>0.49559200158392691</v>
      </c>
      <c r="AN16" s="1">
        <f t="shared" si="9"/>
        <v>2.0436186372700873</v>
      </c>
      <c r="AO16" s="1">
        <f t="shared" si="47"/>
        <v>7.7582201176205956E-2</v>
      </c>
      <c r="AP16" s="97">
        <f t="shared" si="48"/>
        <v>0.68359720802934421</v>
      </c>
      <c r="AQ16" s="1"/>
      <c r="AR16" s="1"/>
      <c r="AS16" s="1"/>
      <c r="AT16" s="1"/>
      <c r="AU16" s="1"/>
      <c r="AV16" s="1"/>
      <c r="AW16" s="1"/>
      <c r="AX16" s="70">
        <f t="shared" si="70"/>
        <v>0.193715556666371</v>
      </c>
      <c r="AY16" s="1">
        <f t="shared" si="71"/>
        <v>0.12347763620783937</v>
      </c>
      <c r="AZ16" s="1">
        <f t="shared" si="72"/>
        <v>0.62942404592916046</v>
      </c>
      <c r="BA16" s="1">
        <f t="shared" si="10"/>
        <v>-3.0257194112260454E-18</v>
      </c>
      <c r="BB16" s="1">
        <f t="shared" si="11"/>
        <v>1.6508036384639495</v>
      </c>
      <c r="BC16" s="1">
        <f t="shared" si="12"/>
        <v>8.2204613086318407E-2</v>
      </c>
      <c r="BD16" s="1">
        <f t="shared" si="49"/>
        <v>1.6508036384639495</v>
      </c>
      <c r="BE16" s="1">
        <f t="shared" si="50"/>
        <v>-1.8328766309489339E-18</v>
      </c>
      <c r="BF16" s="1">
        <f t="shared" si="51"/>
        <v>4.981732722246731E-2</v>
      </c>
      <c r="BG16" s="1">
        <f t="shared" si="13"/>
        <v>0.72638773975828763</v>
      </c>
      <c r="BH16" s="1">
        <f t="shared" si="14"/>
        <v>1.9234933559413434</v>
      </c>
      <c r="BI16" s="1">
        <f t="shared" si="52"/>
        <v>8.6562692737617519E-2</v>
      </c>
      <c r="BJ16" s="97">
        <f t="shared" si="53"/>
        <v>0.96906602667794906</v>
      </c>
      <c r="BK16" s="1"/>
      <c r="BL16" s="1"/>
      <c r="BM16" s="1"/>
      <c r="BN16" s="1"/>
      <c r="BO16" s="1"/>
      <c r="BP16" s="1"/>
      <c r="BQ16" s="1"/>
      <c r="BR16" s="70">
        <f t="shared" si="73"/>
        <v>0.27117700973441566</v>
      </c>
      <c r="BS16" s="1">
        <f t="shared" si="74"/>
        <v>0.21984017413855073</v>
      </c>
      <c r="BT16" s="1">
        <f t="shared" si="75"/>
        <v>0.79071885965412136</v>
      </c>
      <c r="BU16" s="1">
        <f t="shared" si="15"/>
        <v>-3.630467509208229E-18</v>
      </c>
      <c r="BV16" s="1">
        <f t="shared" si="16"/>
        <v>1.5545392552929318</v>
      </c>
      <c r="BW16" s="1">
        <f t="shared" si="17"/>
        <v>9.8634782792361403E-2</v>
      </c>
      <c r="BX16" s="1">
        <f t="shared" si="54"/>
        <v>1.5545392552929318</v>
      </c>
      <c r="BY16" s="1">
        <f t="shared" si="55"/>
        <v>-2.3353977693693666E-18</v>
      </c>
      <c r="BZ16" s="1">
        <f t="shared" si="56"/>
        <v>6.3492178787586062E-2</v>
      </c>
      <c r="CA16" s="1">
        <f t="shared" si="18"/>
        <v>0.94444005441338497</v>
      </c>
      <c r="CB16" s="1">
        <f t="shared" si="19"/>
        <v>1.8099231422544366</v>
      </c>
      <c r="CC16" s="1">
        <f t="shared" si="57"/>
        <v>8.8633854780481025E-2</v>
      </c>
      <c r="CD16" s="97">
        <f t="shared" si="58"/>
        <v>1.2453029079969435</v>
      </c>
      <c r="CE16" s="1"/>
      <c r="CF16" s="1"/>
      <c r="CG16" s="1"/>
      <c r="CH16" s="1"/>
      <c r="CI16" s="1"/>
      <c r="CJ16" s="1"/>
      <c r="CK16" s="1"/>
      <c r="CL16" s="70">
        <f t="shared" si="76"/>
        <v>0.33297085304432722</v>
      </c>
      <c r="CM16" s="1">
        <f t="shared" si="77"/>
        <v>0.32685214704127863</v>
      </c>
      <c r="CN16" s="1">
        <f t="shared" si="78"/>
        <v>0.94507548586052448</v>
      </c>
      <c r="CO16" s="1">
        <f t="shared" si="20"/>
        <v>-4.6322355299480553E-18</v>
      </c>
      <c r="CP16" s="1">
        <f t="shared" si="21"/>
        <v>1.4591954963353382</v>
      </c>
      <c r="CQ16" s="1">
        <f t="shared" si="22"/>
        <v>0.12585143488562198</v>
      </c>
      <c r="CR16" s="1">
        <f t="shared" si="59"/>
        <v>1.4591954963353382</v>
      </c>
      <c r="CS16" s="1">
        <f t="shared" si="60"/>
        <v>-3.1745133133850627E-18</v>
      </c>
      <c r="CT16" s="1">
        <f t="shared" si="61"/>
        <v>8.6354423076775655E-2</v>
      </c>
      <c r="CU16" s="1">
        <f t="shared" si="23"/>
        <v>1.1604070262443558</v>
      </c>
      <c r="CV16" s="1">
        <f t="shared" si="24"/>
        <v>1.696002871124745</v>
      </c>
      <c r="CW16" s="1">
        <f t="shared" si="62"/>
        <v>8.810618619171029E-2</v>
      </c>
      <c r="CX16" s="97">
        <f t="shared" si="63"/>
        <v>1.534328773834658</v>
      </c>
      <c r="DF16" s="70">
        <f t="shared" si="25"/>
        <v>-0.75023178332129226</v>
      </c>
      <c r="DG16" s="1">
        <f t="shared" si="26"/>
        <v>-0.6611749173210929</v>
      </c>
      <c r="DH16" s="1">
        <f t="shared" si="27"/>
        <v>-0.2</v>
      </c>
      <c r="DI16" s="1">
        <f t="shared" si="64"/>
        <v>0.68000000000000016</v>
      </c>
      <c r="DJ16" s="1">
        <f t="shared" si="28"/>
        <v>6.8981335711302575E-18</v>
      </c>
      <c r="DK16" s="1">
        <f t="shared" si="29"/>
        <v>1.6976052386248941</v>
      </c>
      <c r="DL16" s="1">
        <f t="shared" si="30"/>
        <v>-0.18741275186608602</v>
      </c>
      <c r="DM16" s="1">
        <f t="shared" si="31"/>
        <v>1.6976052386248941</v>
      </c>
      <c r="DN16" s="1">
        <f t="shared" si="32"/>
        <v>4.0634497433089514E-18</v>
      </c>
      <c r="DO16" s="1">
        <f t="shared" si="33"/>
        <v>-0.11062380221930559</v>
      </c>
      <c r="DP16" s="1">
        <f t="shared" si="34"/>
        <v>-9.462982263434444E-2</v>
      </c>
      <c r="DQ16" s="1">
        <f t="shared" si="35"/>
        <v>0.51503807491005427</v>
      </c>
      <c r="DR16" s="1">
        <f t="shared" si="65"/>
        <v>-0.26953595600552815</v>
      </c>
      <c r="DS16" s="97">
        <f t="shared" si="36"/>
        <v>15.636655404038109</v>
      </c>
      <c r="DT16" s="1"/>
      <c r="DU16" s="1"/>
      <c r="DV16" s="1"/>
    </row>
    <row r="17" spans="1:126" ht="24" customHeight="1">
      <c r="A17" s="78" t="s">
        <v>7</v>
      </c>
      <c r="B17" s="79" t="s">
        <v>3</v>
      </c>
      <c r="C17" s="80">
        <f>'Input Output'!H9</f>
        <v>60</v>
      </c>
      <c r="E17" s="81" t="s">
        <v>7</v>
      </c>
      <c r="F17" s="6" t="s">
        <v>60</v>
      </c>
      <c r="G17" s="121">
        <f>C17*$G$21</f>
        <v>1.0471975511965976</v>
      </c>
      <c r="J17" s="70">
        <f t="shared" si="37"/>
        <v>-4.7123889803846852E-2</v>
      </c>
      <c r="K17" s="1">
        <f t="shared" si="38"/>
        <v>-1.3323716293767262E-2</v>
      </c>
      <c r="L17" s="1">
        <f t="shared" si="39"/>
        <v>0.28252872169767668</v>
      </c>
      <c r="M17" s="1">
        <f t="shared" si="0"/>
        <v>-3.7393835609465345E-18</v>
      </c>
      <c r="N17" s="1">
        <f t="shared" si="1"/>
        <v>1.8425052822454284</v>
      </c>
      <c r="O17" s="1">
        <f t="shared" si="2"/>
        <v>0.10159388133230463</v>
      </c>
      <c r="P17" s="1">
        <f t="shared" si="40"/>
        <v>1.8425052822454284</v>
      </c>
      <c r="Q17" s="1">
        <f t="shared" si="41"/>
        <v>-2.0295103612345764E-18</v>
      </c>
      <c r="R17" s="1">
        <f t="shared" si="42"/>
        <v>5.5166968759111111E-2</v>
      </c>
      <c r="S17" s="1">
        <f t="shared" si="3"/>
        <v>0.29215665892876469</v>
      </c>
      <c r="T17" s="1">
        <f t="shared" si="4"/>
        <v>2.1462580952065218</v>
      </c>
      <c r="U17" s="1">
        <f t="shared" si="43"/>
        <v>9.5560334140690095E-2</v>
      </c>
      <c r="V17" s="97">
        <f t="shared" si="66"/>
        <v>0.4916582105680623</v>
      </c>
      <c r="W17" s="1"/>
      <c r="X17" s="1"/>
      <c r="Y17" s="1"/>
      <c r="Z17" s="1"/>
      <c r="AA17" s="1"/>
      <c r="AB17" s="1"/>
      <c r="AC17" s="1"/>
      <c r="AD17" s="70">
        <f t="shared" si="67"/>
        <v>9.1557353585036472E-2</v>
      </c>
      <c r="AE17" s="1">
        <f t="shared" si="68"/>
        <v>4.225249627707784E-2</v>
      </c>
      <c r="AF17" s="1">
        <f t="shared" si="69"/>
        <v>0.46019641864788308</v>
      </c>
      <c r="AG17" s="1">
        <f t="shared" si="5"/>
        <v>-2.9595816246572719E-18</v>
      </c>
      <c r="AH17" s="1">
        <f t="shared" si="6"/>
        <v>1.747476050181678</v>
      </c>
      <c r="AI17" s="1">
        <f t="shared" si="7"/>
        <v>8.0407740866409408E-2</v>
      </c>
      <c r="AJ17" s="1">
        <f t="shared" si="44"/>
        <v>1.747476050181678</v>
      </c>
      <c r="AK17" s="1">
        <f t="shared" si="45"/>
        <v>-1.6936321526979303E-18</v>
      </c>
      <c r="AL17" s="1">
        <f t="shared" si="46"/>
        <v>4.6029896593005756E-2</v>
      </c>
      <c r="AM17" s="1">
        <f t="shared" si="8"/>
        <v>0.50741118327952928</v>
      </c>
      <c r="AN17" s="1">
        <f t="shared" si="9"/>
        <v>2.0365045912748383</v>
      </c>
      <c r="AO17" s="1">
        <f t="shared" si="47"/>
        <v>8.4696247171454964E-2</v>
      </c>
      <c r="AP17" s="97">
        <f t="shared" si="48"/>
        <v>0.7112803547385167</v>
      </c>
      <c r="AQ17" s="1"/>
      <c r="AR17" s="1"/>
      <c r="AS17" s="1"/>
      <c r="AT17" s="1"/>
      <c r="AU17" s="1"/>
      <c r="AV17" s="1"/>
      <c r="AW17" s="1"/>
      <c r="AX17" s="70">
        <f t="shared" si="70"/>
        <v>0.25756685099391352</v>
      </c>
      <c r="AY17" s="1">
        <f t="shared" si="71"/>
        <v>0.16338825017562522</v>
      </c>
      <c r="AZ17" s="1">
        <f t="shared" si="72"/>
        <v>0.62026255403809172</v>
      </c>
      <c r="BA17" s="1">
        <f t="shared" si="10"/>
        <v>-4.289075857299065E-18</v>
      </c>
      <c r="BB17" s="1">
        <f t="shared" si="11"/>
        <v>1.6463929436251292</v>
      </c>
      <c r="BC17" s="1">
        <f t="shared" si="12"/>
        <v>0.11652826102743942</v>
      </c>
      <c r="BD17" s="1">
        <f t="shared" si="49"/>
        <v>1.6463929436251292</v>
      </c>
      <c r="BE17" s="1">
        <f t="shared" si="50"/>
        <v>-2.605134985488406E-18</v>
      </c>
      <c r="BF17" s="1">
        <f t="shared" si="51"/>
        <v>7.0837143164763056E-2</v>
      </c>
      <c r="BG17" s="1">
        <f t="shared" si="13"/>
        <v>0.73637858151264113</v>
      </c>
      <c r="BH17" s="1">
        <f t="shared" si="14"/>
        <v>1.9159199738587236</v>
      </c>
      <c r="BI17" s="1">
        <f t="shared" si="52"/>
        <v>9.4136074820237337E-2</v>
      </c>
      <c r="BJ17" s="97">
        <f t="shared" si="53"/>
        <v>1.0100216104830289</v>
      </c>
      <c r="BK17" s="1"/>
      <c r="BL17" s="1"/>
      <c r="BM17" s="1"/>
      <c r="BN17" s="1"/>
      <c r="BO17" s="1"/>
      <c r="BP17" s="1"/>
      <c r="BQ17" s="1"/>
      <c r="BR17" s="70">
        <f t="shared" si="73"/>
        <v>0.33584538818959753</v>
      </c>
      <c r="BS17" s="1">
        <f t="shared" si="74"/>
        <v>0.27047952177909435</v>
      </c>
      <c r="BT17" s="1">
        <f t="shared" si="75"/>
        <v>0.77485924236349835</v>
      </c>
      <c r="BU17" s="1">
        <f t="shared" si="15"/>
        <v>-5.2899104549947698E-18</v>
      </c>
      <c r="BV17" s="1">
        <f t="shared" si="16"/>
        <v>1.5509198672354148</v>
      </c>
      <c r="BW17" s="1">
        <f t="shared" si="17"/>
        <v>0.14371955330712868</v>
      </c>
      <c r="BX17" s="1">
        <f t="shared" si="54"/>
        <v>1.5509198672354148</v>
      </c>
      <c r="BY17" s="1">
        <f t="shared" si="55"/>
        <v>-3.4108212595304979E-18</v>
      </c>
      <c r="BZ17" s="1">
        <f t="shared" si="56"/>
        <v>9.2800438873908056E-2</v>
      </c>
      <c r="CA17" s="1">
        <f t="shared" si="18"/>
        <v>0.95263847544491598</v>
      </c>
      <c r="CB17" s="1">
        <f t="shared" si="19"/>
        <v>1.8015694920149252</v>
      </c>
      <c r="CC17" s="1">
        <f t="shared" si="57"/>
        <v>9.6987505019992426E-2</v>
      </c>
      <c r="CD17" s="97">
        <f t="shared" si="58"/>
        <v>1.2983769367317297</v>
      </c>
      <c r="CE17" s="1"/>
      <c r="CF17" s="1"/>
      <c r="CG17" s="1"/>
      <c r="CH17" s="1"/>
      <c r="CI17" s="1"/>
      <c r="CJ17" s="1"/>
      <c r="CK17" s="1"/>
      <c r="CL17" s="70">
        <f t="shared" si="76"/>
        <v>0.39976194977365948</v>
      </c>
      <c r="CM17" s="1">
        <f t="shared" si="77"/>
        <v>0.38919907249886371</v>
      </c>
      <c r="CN17" s="1">
        <f t="shared" si="78"/>
        <v>0.92115366902923657</v>
      </c>
      <c r="CO17" s="1">
        <f t="shared" si="20"/>
        <v>-6.7339419438130426E-18</v>
      </c>
      <c r="CP17" s="1">
        <f t="shared" si="21"/>
        <v>1.456791082086089</v>
      </c>
      <c r="CQ17" s="1">
        <f t="shared" si="22"/>
        <v>0.18295189236088977</v>
      </c>
      <c r="CR17" s="1">
        <f t="shared" si="59"/>
        <v>1.456791082086089</v>
      </c>
      <c r="CS17" s="1">
        <f t="shared" si="60"/>
        <v>-4.6224486315293775E-18</v>
      </c>
      <c r="CT17" s="1">
        <f t="shared" si="61"/>
        <v>0.12591802036542837</v>
      </c>
      <c r="CU17" s="1">
        <f t="shared" si="23"/>
        <v>1.1658533613806552</v>
      </c>
      <c r="CV17" s="1">
        <f t="shared" si="24"/>
        <v>1.686085513955687</v>
      </c>
      <c r="CW17" s="1">
        <f t="shared" si="62"/>
        <v>9.802354336076835E-2</v>
      </c>
      <c r="CX17" s="97">
        <f t="shared" si="63"/>
        <v>1.6011198705639904</v>
      </c>
      <c r="DF17" s="70">
        <f t="shared" si="25"/>
        <v>-0.76465144174333999</v>
      </c>
      <c r="DG17" s="1">
        <f t="shared" si="26"/>
        <v>-0.64444408030474731</v>
      </c>
      <c r="DH17" s="1">
        <f t="shared" si="27"/>
        <v>-0.2</v>
      </c>
      <c r="DI17" s="1">
        <f t="shared" si="64"/>
        <v>0.74000000000000021</v>
      </c>
      <c r="DJ17" s="1">
        <f t="shared" si="28"/>
        <v>7.6981475338305324E-18</v>
      </c>
      <c r="DK17" s="1">
        <f t="shared" si="29"/>
        <v>1.6695982575502133</v>
      </c>
      <c r="DL17" s="1">
        <f t="shared" si="30"/>
        <v>-0.20914802514470771</v>
      </c>
      <c r="DM17" s="1">
        <f t="shared" si="31"/>
        <v>1.6695982575502133</v>
      </c>
      <c r="DN17" s="1">
        <f t="shared" si="32"/>
        <v>4.6107783707955922E-18</v>
      </c>
      <c r="DO17" s="1">
        <f t="shared" si="33"/>
        <v>-0.1255984316753834</v>
      </c>
      <c r="DP17" s="1">
        <f t="shared" si="34"/>
        <v>-0.10737603932548122</v>
      </c>
      <c r="DQ17" s="1">
        <f t="shared" si="35"/>
        <v>0.51503807491005427</v>
      </c>
      <c r="DR17" s="1">
        <f t="shared" si="65"/>
        <v>-0.24980799522841868</v>
      </c>
      <c r="DS17" s="97">
        <f t="shared" si="36"/>
        <v>14.466150627640699</v>
      </c>
      <c r="DT17" s="1"/>
      <c r="DU17" s="1"/>
      <c r="DV17" s="1"/>
    </row>
    <row r="18" spans="1:126" ht="24" customHeight="1" thickBot="1">
      <c r="A18" s="104" t="s">
        <v>8</v>
      </c>
      <c r="B18" s="105" t="s">
        <v>3</v>
      </c>
      <c r="C18" s="88">
        <f>'Input Output'!H10</f>
        <v>65</v>
      </c>
      <c r="E18" s="122" t="s">
        <v>8</v>
      </c>
      <c r="F18" s="123" t="s">
        <v>60</v>
      </c>
      <c r="G18" s="124">
        <f>C18*$G$21</f>
        <v>1.1344640137963142</v>
      </c>
      <c r="J18" s="70">
        <f t="shared" si="37"/>
        <v>3.490658503988664E-2</v>
      </c>
      <c r="K18" s="1">
        <f t="shared" si="38"/>
        <v>9.8710683113344116E-3</v>
      </c>
      <c r="L18" s="1">
        <f t="shared" si="39"/>
        <v>0.28267041233633383</v>
      </c>
      <c r="M18" s="1">
        <f t="shared" si="0"/>
        <v>-4.4007242429283898E-18</v>
      </c>
      <c r="N18" s="1">
        <f t="shared" si="1"/>
        <v>1.8373904623617965</v>
      </c>
      <c r="O18" s="1">
        <f t="shared" si="2"/>
        <v>0.11956159330151565</v>
      </c>
      <c r="P18" s="1">
        <f t="shared" si="40"/>
        <v>1.8373904623617965</v>
      </c>
      <c r="Q18" s="1">
        <f t="shared" si="41"/>
        <v>-2.3950947460953203E-18</v>
      </c>
      <c r="R18" s="1">
        <f t="shared" si="42"/>
        <v>6.5117422408219452E-2</v>
      </c>
      <c r="S18" s="1">
        <f t="shared" si="3"/>
        <v>0.30374244255850497</v>
      </c>
      <c r="T18" s="1">
        <f t="shared" si="4"/>
        <v>2.1390180345805794</v>
      </c>
      <c r="U18" s="1">
        <f t="shared" si="43"/>
        <v>0.1028003947666325</v>
      </c>
      <c r="V18" s="97">
        <f t="shared" si="66"/>
        <v>0.51485993257844487</v>
      </c>
      <c r="W18" s="1"/>
      <c r="X18" s="1"/>
      <c r="Y18" s="1"/>
      <c r="Z18" s="1"/>
      <c r="AA18" s="1"/>
      <c r="AB18" s="1"/>
      <c r="AC18" s="1"/>
      <c r="AD18" s="70">
        <f t="shared" si="67"/>
        <v>0.15146046492799331</v>
      </c>
      <c r="AE18" s="1">
        <f t="shared" si="68"/>
        <v>6.9727423200507038E-2</v>
      </c>
      <c r="AF18" s="1">
        <f t="shared" si="69"/>
        <v>0.45684144255069459</v>
      </c>
      <c r="AG18" s="1">
        <f t="shared" si="5"/>
        <v>-3.7899314104771688E-18</v>
      </c>
      <c r="AH18" s="1">
        <f t="shared" si="6"/>
        <v>1.7430617799293266</v>
      </c>
      <c r="AI18" s="1">
        <f t="shared" si="7"/>
        <v>0.10296719651731294</v>
      </c>
      <c r="AJ18" s="1">
        <f t="shared" si="44"/>
        <v>1.7430617799293266</v>
      </c>
      <c r="AK18" s="1">
        <f t="shared" si="45"/>
        <v>-2.1742955150051158E-18</v>
      </c>
      <c r="AL18" s="1">
        <f t="shared" si="46"/>
        <v>5.9107013409362523E-2</v>
      </c>
      <c r="AM18" s="1">
        <f t="shared" si="8"/>
        <v>0.51741012384645035</v>
      </c>
      <c r="AN18" s="1">
        <f t="shared" si="9"/>
        <v>2.0299629378314146</v>
      </c>
      <c r="AO18" s="1">
        <f t="shared" si="47"/>
        <v>9.1237900614878686E-2</v>
      </c>
      <c r="AP18" s="97">
        <f t="shared" si="48"/>
        <v>0.73896350144768919</v>
      </c>
      <c r="AQ18" s="1"/>
      <c r="AR18" s="1"/>
      <c r="AS18" s="1"/>
      <c r="AT18" s="1"/>
      <c r="AU18" s="1"/>
      <c r="AV18" s="1"/>
      <c r="AW18" s="1"/>
      <c r="AX18" s="70">
        <f t="shared" si="70"/>
        <v>0.32141814532145607</v>
      </c>
      <c r="AY18" s="1">
        <f t="shared" si="71"/>
        <v>0.20263295852973739</v>
      </c>
      <c r="AZ18" s="1">
        <f t="shared" si="72"/>
        <v>0.60857311833073535</v>
      </c>
      <c r="BA18" s="1">
        <f t="shared" si="10"/>
        <v>-5.5670979542574995E-18</v>
      </c>
      <c r="BB18" s="1">
        <f t="shared" si="11"/>
        <v>1.6433071940397357</v>
      </c>
      <c r="BC18" s="1">
        <f t="shared" si="12"/>
        <v>0.15125035442659659</v>
      </c>
      <c r="BD18" s="1">
        <f t="shared" si="49"/>
        <v>1.6433071940397357</v>
      </c>
      <c r="BE18" s="1">
        <f t="shared" si="50"/>
        <v>-3.3877402681916849E-18</v>
      </c>
      <c r="BF18" s="1">
        <f t="shared" si="51"/>
        <v>9.2170668765854114E-2</v>
      </c>
      <c r="BG18" s="1">
        <f t="shared" si="13"/>
        <v>0.74336823664132667</v>
      </c>
      <c r="BH18" s="1">
        <f t="shared" si="14"/>
        <v>1.9089993640850234</v>
      </c>
      <c r="BI18" s="1">
        <f t="shared" si="52"/>
        <v>0.10105668459393757</v>
      </c>
      <c r="BJ18" s="97">
        <f t="shared" si="53"/>
        <v>1.050977194288109</v>
      </c>
      <c r="BK18" s="1"/>
      <c r="BL18" s="1"/>
      <c r="BM18" s="1"/>
      <c r="BN18" s="1"/>
      <c r="BO18" s="1"/>
      <c r="BP18" s="1"/>
      <c r="BQ18" s="1"/>
      <c r="BR18" s="70">
        <f t="shared" si="73"/>
        <v>0.40051376664477933</v>
      </c>
      <c r="BS18" s="1">
        <f t="shared" si="74"/>
        <v>0.31998811843256264</v>
      </c>
      <c r="BT18" s="1">
        <f t="shared" si="75"/>
        <v>0.75576029350579843</v>
      </c>
      <c r="BU18" s="1">
        <f t="shared" si="15"/>
        <v>-6.9602126336405502E-18</v>
      </c>
      <c r="BV18" s="1">
        <f t="shared" si="16"/>
        <v>1.5490586684864387</v>
      </c>
      <c r="BW18" s="1">
        <f t="shared" si="17"/>
        <v>0.18909935416486034</v>
      </c>
      <c r="BX18" s="1">
        <f t="shared" si="54"/>
        <v>1.5490586684864387</v>
      </c>
      <c r="BY18" s="1">
        <f t="shared" si="55"/>
        <v>-4.4931885249002654E-18</v>
      </c>
      <c r="BZ18" s="1">
        <f t="shared" si="56"/>
        <v>0.12237896167444473</v>
      </c>
      <c r="CA18" s="1">
        <f t="shared" si="18"/>
        <v>0.95685435136785657</v>
      </c>
      <c r="CB18" s="1">
        <f t="shared" si="19"/>
        <v>1.7936677159728907</v>
      </c>
      <c r="CC18" s="1">
        <f t="shared" si="57"/>
        <v>0.104889281062027</v>
      </c>
      <c r="CD18" s="97">
        <f t="shared" si="58"/>
        <v>1.3514509654665157</v>
      </c>
      <c r="CE18" s="1"/>
      <c r="CF18" s="1"/>
      <c r="CG18" s="1"/>
      <c r="CH18" s="1"/>
      <c r="CI18" s="1"/>
      <c r="CJ18" s="1"/>
      <c r="CK18" s="1"/>
      <c r="CL18" s="70">
        <f t="shared" si="76"/>
        <v>0.46655304650299173</v>
      </c>
      <c r="CM18" s="1">
        <f t="shared" si="77"/>
        <v>0.44981040655702381</v>
      </c>
      <c r="CN18" s="1">
        <f t="shared" si="78"/>
        <v>0.89312406649524623</v>
      </c>
      <c r="CO18" s="1">
        <f t="shared" si="20"/>
        <v>-8.8407924199304977E-18</v>
      </c>
      <c r="CP18" s="1">
        <f t="shared" si="21"/>
        <v>1.4566818890712088</v>
      </c>
      <c r="CQ18" s="1">
        <f t="shared" si="22"/>
        <v>0.24019210689544959</v>
      </c>
      <c r="CR18" s="1">
        <f t="shared" si="59"/>
        <v>1.4566818890712088</v>
      </c>
      <c r="CS18" s="1">
        <f t="shared" si="60"/>
        <v>-6.0691304575547736E-18</v>
      </c>
      <c r="CT18" s="1">
        <f t="shared" si="61"/>
        <v>0.16564636551011899</v>
      </c>
      <c r="CU18" s="1">
        <f t="shared" si="23"/>
        <v>1.1661006988574503</v>
      </c>
      <c r="CV18" s="1">
        <f t="shared" si="24"/>
        <v>1.676152135467492</v>
      </c>
      <c r="CW18" s="1">
        <f t="shared" si="62"/>
        <v>0.10795692184896333</v>
      </c>
      <c r="CX18" s="97">
        <f t="shared" si="63"/>
        <v>1.6679109672933226</v>
      </c>
      <c r="DF18" s="70">
        <f t="shared" si="25"/>
        <v>-0.77674771815386956</v>
      </c>
      <c r="DG18" s="1">
        <f t="shared" si="26"/>
        <v>-0.62981186265642597</v>
      </c>
      <c r="DH18" s="1">
        <f t="shared" si="27"/>
        <v>-0.2</v>
      </c>
      <c r="DI18" s="1">
        <f t="shared" si="64"/>
        <v>0.80000000000000027</v>
      </c>
      <c r="DJ18" s="1">
        <f t="shared" si="28"/>
        <v>8.4981614965308019E-18</v>
      </c>
      <c r="DK18" s="1">
        <f t="shared" si="29"/>
        <v>1.6415912764755323</v>
      </c>
      <c r="DL18" s="1">
        <f t="shared" si="30"/>
        <v>-0.23088329842332928</v>
      </c>
      <c r="DM18" s="1">
        <f t="shared" si="31"/>
        <v>1.6415912764755323</v>
      </c>
      <c r="DN18" s="1">
        <f t="shared" si="32"/>
        <v>5.176782807213867E-18</v>
      </c>
      <c r="DO18" s="1">
        <f t="shared" si="33"/>
        <v>-0.14111390210285168</v>
      </c>
      <c r="DP18" s="1">
        <f t="shared" si="34"/>
        <v>-0.12055717919726358</v>
      </c>
      <c r="DQ18" s="1">
        <f t="shared" si="35"/>
        <v>0.51503807491005427</v>
      </c>
      <c r="DR18" s="1">
        <f t="shared" si="65"/>
        <v>-0.23073457544953949</v>
      </c>
      <c r="DS18" s="97">
        <f t="shared" si="36"/>
        <v>13.340323121032513</v>
      </c>
      <c r="DT18" s="1"/>
      <c r="DU18" s="1"/>
      <c r="DV18" s="1"/>
    </row>
    <row r="19" spans="1:126" ht="24" customHeight="1" thickTop="1">
      <c r="A19" s="185" t="s">
        <v>80</v>
      </c>
      <c r="B19" s="185"/>
      <c r="C19" s="185"/>
      <c r="E19" s="186" t="s">
        <v>81</v>
      </c>
      <c r="F19" s="186"/>
      <c r="G19" s="186"/>
      <c r="J19" s="70">
        <f t="shared" si="37"/>
        <v>0.11693705988362013</v>
      </c>
      <c r="K19" s="1">
        <f t="shared" si="38"/>
        <v>3.2999467747588579E-2</v>
      </c>
      <c r="L19" s="1">
        <f t="shared" si="39"/>
        <v>0.28091108046564467</v>
      </c>
      <c r="M19" s="1">
        <f t="shared" si="0"/>
        <v>-5.0855141215751841E-18</v>
      </c>
      <c r="N19" s="1">
        <f t="shared" si="1"/>
        <v>1.8331774571965105</v>
      </c>
      <c r="O19" s="1">
        <f t="shared" si="2"/>
        <v>0.1381663875235867</v>
      </c>
      <c r="P19" s="1">
        <f t="shared" si="40"/>
        <v>1.8331774571965105</v>
      </c>
      <c r="Q19" s="1">
        <f t="shared" si="41"/>
        <v>-2.7741526613318122E-18</v>
      </c>
      <c r="R19" s="1">
        <f t="shared" si="42"/>
        <v>7.544143329567457E-2</v>
      </c>
      <c r="S19" s="1">
        <f t="shared" si="3"/>
        <v>0.31328548950570728</v>
      </c>
      <c r="T19" s="1">
        <f t="shared" si="4"/>
        <v>2.1325629749223274</v>
      </c>
      <c r="U19" s="1">
        <f t="shared" si="43"/>
        <v>0.10925545442488449</v>
      </c>
      <c r="V19" s="97">
        <f t="shared" si="66"/>
        <v>0.53806165458882749</v>
      </c>
      <c r="W19" s="1"/>
      <c r="X19" s="1"/>
      <c r="Y19" s="1"/>
      <c r="Z19" s="1"/>
      <c r="AA19" s="1"/>
      <c r="AB19" s="1"/>
      <c r="AC19" s="1"/>
      <c r="AD19" s="70">
        <f t="shared" si="67"/>
        <v>0.21136357627095015</v>
      </c>
      <c r="AE19" s="1">
        <f t="shared" si="68"/>
        <v>9.6952216252849291E-2</v>
      </c>
      <c r="AF19" s="1">
        <f t="shared" si="69"/>
        <v>0.45184763465314598</v>
      </c>
      <c r="AG19" s="1">
        <f t="shared" si="5"/>
        <v>-4.6349803592794009E-18</v>
      </c>
      <c r="AH19" s="1">
        <f t="shared" si="6"/>
        <v>1.7394669337935664</v>
      </c>
      <c r="AI19" s="1">
        <f t="shared" si="7"/>
        <v>0.1259260081035925</v>
      </c>
      <c r="AJ19" s="1">
        <f t="shared" si="44"/>
        <v>1.7394669337935664</v>
      </c>
      <c r="AK19" s="1">
        <f t="shared" si="45"/>
        <v>-2.6645981416680747E-18</v>
      </c>
      <c r="AL19" s="1">
        <f t="shared" si="46"/>
        <v>7.2456830466714653E-2</v>
      </c>
      <c r="AM19" s="1">
        <f t="shared" si="8"/>
        <v>0.52555295398684476</v>
      </c>
      <c r="AN19" s="1">
        <f t="shared" si="9"/>
        <v>2.0239955907068996</v>
      </c>
      <c r="AO19" s="1">
        <f t="shared" si="47"/>
        <v>9.7205247739393652E-2</v>
      </c>
      <c r="AP19" s="97">
        <f t="shared" si="48"/>
        <v>0.76664664815686157</v>
      </c>
      <c r="AQ19" s="1"/>
      <c r="AR19" s="1"/>
      <c r="AS19" s="1"/>
      <c r="AT19" s="1"/>
      <c r="AU19" s="1"/>
      <c r="AV19" s="1"/>
      <c r="AW19" s="1"/>
      <c r="AX19" s="70">
        <f t="shared" si="70"/>
        <v>0.38526943964899862</v>
      </c>
      <c r="AY19" s="1">
        <f t="shared" si="71"/>
        <v>0.24105181542601692</v>
      </c>
      <c r="AZ19" s="1">
        <f t="shared" si="72"/>
        <v>0.5944033803042601</v>
      </c>
      <c r="BA19" s="1">
        <f t="shared" si="10"/>
        <v>-6.8545769916350385E-18</v>
      </c>
      <c r="BB19" s="1">
        <f t="shared" si="11"/>
        <v>1.6415589659974905</v>
      </c>
      <c r="BC19" s="1">
        <f t="shared" si="12"/>
        <v>0.18622937982190918</v>
      </c>
      <c r="BD19" s="1">
        <f t="shared" si="49"/>
        <v>1.6415589659974905</v>
      </c>
      <c r="BE19" s="1">
        <f t="shared" si="50"/>
        <v>-4.175650789047268E-18</v>
      </c>
      <c r="BF19" s="1">
        <f t="shared" si="51"/>
        <v>0.11369142480116481</v>
      </c>
      <c r="BG19" s="1">
        <f t="shared" si="13"/>
        <v>0.74732821808616978</v>
      </c>
      <c r="BH19" s="1">
        <f t="shared" si="14"/>
        <v>1.9027338130046949</v>
      </c>
      <c r="BI19" s="1">
        <f t="shared" si="52"/>
        <v>0.10732223567426602</v>
      </c>
      <c r="BJ19" s="97">
        <f t="shared" si="53"/>
        <v>1.0919327780931889</v>
      </c>
      <c r="BK19" s="1"/>
      <c r="BL19" s="1"/>
      <c r="BM19" s="1"/>
      <c r="BN19" s="1"/>
      <c r="BO19" s="1"/>
      <c r="BP19" s="1"/>
      <c r="BQ19" s="1"/>
      <c r="BR19" s="70">
        <f t="shared" si="73"/>
        <v>0.46518214509996114</v>
      </c>
      <c r="BS19" s="1">
        <f t="shared" si="74"/>
        <v>0.36815899133382213</v>
      </c>
      <c r="BT19" s="1">
        <f t="shared" si="75"/>
        <v>0.73350185703789805</v>
      </c>
      <c r="BU19" s="1">
        <f t="shared" si="15"/>
        <v>-8.6343912768206507E-18</v>
      </c>
      <c r="BV19" s="1">
        <f t="shared" si="16"/>
        <v>1.5489634398654486</v>
      </c>
      <c r="BW19" s="1">
        <f t="shared" si="17"/>
        <v>0.2345844732044447</v>
      </c>
      <c r="BX19" s="1">
        <f t="shared" si="54"/>
        <v>1.5489634398654486</v>
      </c>
      <c r="BY19" s="1">
        <f t="shared" si="55"/>
        <v>-5.5743028238101483E-18</v>
      </c>
      <c r="BZ19" s="1">
        <f t="shared" si="56"/>
        <v>0.1520310848100927</v>
      </c>
      <c r="CA19" s="1">
        <f t="shared" si="18"/>
        <v>0.95707005753606023</v>
      </c>
      <c r="CB19" s="1">
        <f t="shared" si="19"/>
        <v>1.7862288334526721</v>
      </c>
      <c r="CC19" s="1">
        <f t="shared" si="57"/>
        <v>0.11232816358224551</v>
      </c>
      <c r="CD19" s="97">
        <f t="shared" si="58"/>
        <v>1.4045249942013018</v>
      </c>
      <c r="CE19" s="1"/>
      <c r="CF19" s="1"/>
      <c r="CG19" s="1"/>
      <c r="CH19" s="1"/>
      <c r="CI19" s="1"/>
      <c r="CJ19" s="1"/>
      <c r="CK19" s="1"/>
      <c r="CL19" s="70">
        <f t="shared" si="76"/>
        <v>0.53334414323232404</v>
      </c>
      <c r="CM19" s="1">
        <f t="shared" si="77"/>
        <v>0.50841585949121371</v>
      </c>
      <c r="CN19" s="1">
        <f t="shared" si="78"/>
        <v>0.86111167325603621</v>
      </c>
      <c r="CO19" s="1">
        <f t="shared" si="20"/>
        <v>-1.0943391685226551E-17</v>
      </c>
      <c r="CP19" s="1">
        <f t="shared" si="21"/>
        <v>1.4588684042252027</v>
      </c>
      <c r="CQ19" s="1">
        <f t="shared" si="22"/>
        <v>0.29731682190965575</v>
      </c>
      <c r="CR19" s="1">
        <f t="shared" si="59"/>
        <v>1.4588684042252027</v>
      </c>
      <c r="CS19" s="1">
        <f t="shared" si="60"/>
        <v>-7.5012877470867765E-18</v>
      </c>
      <c r="CT19" s="1">
        <f t="shared" si="61"/>
        <v>0.20523743439230646</v>
      </c>
      <c r="CU19" s="1">
        <f t="shared" si="23"/>
        <v>1.161147935699868</v>
      </c>
      <c r="CV19" s="1">
        <f t="shared" si="24"/>
        <v>1.6662448298900856</v>
      </c>
      <c r="CW19" s="1">
        <f t="shared" si="62"/>
        <v>0.11786422742636971</v>
      </c>
      <c r="CX19" s="97">
        <f t="shared" si="63"/>
        <v>1.7347020640226549</v>
      </c>
      <c r="DF19" s="70">
        <f t="shared" si="25"/>
        <v>-0.78702232016768969</v>
      </c>
      <c r="DG19" s="1">
        <f t="shared" si="26"/>
        <v>-0.61692452338828807</v>
      </c>
      <c r="DH19" s="1">
        <f t="shared" si="27"/>
        <v>-0.2</v>
      </c>
      <c r="DI19" s="1">
        <f t="shared" si="64"/>
        <v>0.86000000000000032</v>
      </c>
      <c r="DJ19" s="1">
        <f t="shared" si="28"/>
        <v>9.298175459231076E-18</v>
      </c>
      <c r="DK19" s="1">
        <f t="shared" si="29"/>
        <v>1.6135842954008515</v>
      </c>
      <c r="DL19" s="1">
        <f t="shared" si="30"/>
        <v>-0.25261857170195096</v>
      </c>
      <c r="DM19" s="1">
        <f t="shared" si="31"/>
        <v>1.6135842954008515</v>
      </c>
      <c r="DN19" s="1">
        <f t="shared" si="32"/>
        <v>5.7624355205571673E-18</v>
      </c>
      <c r="DO19" s="1">
        <f t="shared" si="33"/>
        <v>-0.1572041073735207</v>
      </c>
      <c r="DP19" s="1">
        <f t="shared" si="34"/>
        <v>-0.13419588913338529</v>
      </c>
      <c r="DQ19" s="1">
        <f t="shared" si="35"/>
        <v>0.51503807491005427</v>
      </c>
      <c r="DR19" s="1">
        <f t="shared" si="65"/>
        <v>-0.21212445886798367</v>
      </c>
      <c r="DS19" s="97">
        <f t="shared" si="36"/>
        <v>12.246880084146909</v>
      </c>
      <c r="DT19" s="1"/>
      <c r="DU19" s="1"/>
      <c r="DV19" s="1"/>
    </row>
    <row r="20" spans="1:126" ht="24" customHeight="1" thickBot="1">
      <c r="F20" s="1"/>
      <c r="G20" s="1"/>
      <c r="J20" s="70">
        <f t="shared" si="37"/>
        <v>0.19896753472735362</v>
      </c>
      <c r="K20" s="1">
        <f t="shared" si="38"/>
        <v>5.590593829335111E-2</v>
      </c>
      <c r="L20" s="1">
        <f t="shared" si="39"/>
        <v>0.27726255799068877</v>
      </c>
      <c r="M20" s="1">
        <f t="shared" si="0"/>
        <v>-5.789147829941288E-18</v>
      </c>
      <c r="N20" s="1">
        <f t="shared" si="1"/>
        <v>1.8298946001629792</v>
      </c>
      <c r="O20" s="1">
        <f t="shared" si="2"/>
        <v>0.15728314254592002</v>
      </c>
      <c r="P20" s="1">
        <f t="shared" si="40"/>
        <v>1.8298946001629792</v>
      </c>
      <c r="Q20" s="1">
        <f t="shared" si="41"/>
        <v>-3.1636509717148072E-18</v>
      </c>
      <c r="R20" s="1">
        <f t="shared" si="42"/>
        <v>8.6058208287723981E-2</v>
      </c>
      <c r="S20" s="1">
        <f t="shared" si="3"/>
        <v>0.32072162061945009</v>
      </c>
      <c r="T20" s="1">
        <f t="shared" si="4"/>
        <v>2.1269157911335417</v>
      </c>
      <c r="U20" s="1">
        <f t="shared" si="43"/>
        <v>0.11490263821367019</v>
      </c>
      <c r="V20" s="97">
        <f t="shared" si="66"/>
        <v>0.56126337659921011</v>
      </c>
      <c r="W20" s="1"/>
      <c r="X20" s="1"/>
      <c r="Y20" s="1"/>
      <c r="Z20" s="1"/>
      <c r="AA20" s="1"/>
      <c r="AB20" s="1"/>
      <c r="AC20" s="1"/>
      <c r="AD20" s="70">
        <f t="shared" si="67"/>
        <v>0.27126668761390699</v>
      </c>
      <c r="AE20" s="1">
        <f t="shared" si="68"/>
        <v>0.12382921166620453</v>
      </c>
      <c r="AF20" s="1">
        <f t="shared" si="69"/>
        <v>0.44523290929142745</v>
      </c>
      <c r="AG20" s="1">
        <f t="shared" si="5"/>
        <v>-5.4916970186580154E-18</v>
      </c>
      <c r="AH20" s="1">
        <f t="shared" si="6"/>
        <v>1.736704407601299</v>
      </c>
      <c r="AI20" s="1">
        <f t="shared" si="7"/>
        <v>0.14920181525462148</v>
      </c>
      <c r="AJ20" s="1">
        <f t="shared" si="44"/>
        <v>1.736704407601299</v>
      </c>
      <c r="AK20" s="1">
        <f t="shared" si="45"/>
        <v>-3.1621368579602079E-18</v>
      </c>
      <c r="AL20" s="1">
        <f t="shared" si="46"/>
        <v>8.6016919184130305E-2</v>
      </c>
      <c r="AM20" s="1">
        <f t="shared" si="8"/>
        <v>0.53181046284605715</v>
      </c>
      <c r="AN20" s="1">
        <f t="shared" si="9"/>
        <v>2.0186065269656122</v>
      </c>
      <c r="AO20" s="1">
        <f t="shared" si="47"/>
        <v>0.1025943114806811</v>
      </c>
      <c r="AP20" s="97">
        <f t="shared" si="48"/>
        <v>0.79432979486603406</v>
      </c>
      <c r="AQ20" s="1"/>
      <c r="AR20" s="1"/>
      <c r="AS20" s="1"/>
      <c r="AT20" s="1"/>
      <c r="AU20" s="1"/>
      <c r="AV20" s="1"/>
      <c r="AW20" s="1"/>
      <c r="AX20" s="70">
        <f t="shared" si="70"/>
        <v>0.44912073397654118</v>
      </c>
      <c r="AY20" s="1">
        <f t="shared" si="71"/>
        <v>0.27848824086283785</v>
      </c>
      <c r="AZ20" s="1">
        <f t="shared" si="72"/>
        <v>0.57781109018296928</v>
      </c>
      <c r="BA20" s="1">
        <f t="shared" si="10"/>
        <v>-8.146265716232284E-18</v>
      </c>
      <c r="BB20" s="1">
        <f t="shared" si="11"/>
        <v>1.6411553845815381</v>
      </c>
      <c r="BC20" s="1">
        <f t="shared" si="12"/>
        <v>0.22132277659872748</v>
      </c>
      <c r="BD20" s="1">
        <f t="shared" si="49"/>
        <v>1.6411553845815381</v>
      </c>
      <c r="BE20" s="1">
        <f t="shared" si="50"/>
        <v>-4.9637382253779827E-18</v>
      </c>
      <c r="BF20" s="1">
        <f t="shared" si="51"/>
        <v>0.13527005584194637</v>
      </c>
      <c r="BG20" s="1">
        <f t="shared" si="13"/>
        <v>0.74824238653561437</v>
      </c>
      <c r="BH20" s="1">
        <f t="shared" si="14"/>
        <v>1.8971364677041225</v>
      </c>
      <c r="BI20" s="1">
        <f t="shared" si="52"/>
        <v>0.11291958097483845</v>
      </c>
      <c r="BJ20" s="97">
        <f t="shared" si="53"/>
        <v>1.1328883618982688</v>
      </c>
      <c r="BK20" s="1"/>
      <c r="BL20" s="1"/>
      <c r="BM20" s="1"/>
      <c r="BN20" s="1"/>
      <c r="BO20" s="1"/>
      <c r="BP20" s="1"/>
      <c r="BQ20" s="1"/>
      <c r="BR20" s="70">
        <f t="shared" si="73"/>
        <v>0.52985052355514295</v>
      </c>
      <c r="BS20" s="1">
        <f t="shared" si="74"/>
        <v>0.41479076012800109</v>
      </c>
      <c r="BT20" s="1">
        <f t="shared" si="75"/>
        <v>0.70817698528716488</v>
      </c>
      <c r="BU20" s="1">
        <f t="shared" si="15"/>
        <v>-1.030544741048756E-17</v>
      </c>
      <c r="BV20" s="1">
        <f t="shared" si="16"/>
        <v>1.5506345794796892</v>
      </c>
      <c r="BW20" s="1">
        <f t="shared" si="17"/>
        <v>0.2799847579776929</v>
      </c>
      <c r="BX20" s="1">
        <f t="shared" si="54"/>
        <v>1.5506345794796892</v>
      </c>
      <c r="BY20" s="1">
        <f t="shared" si="55"/>
        <v>-6.645954854138183E-18</v>
      </c>
      <c r="BZ20" s="1">
        <f t="shared" si="56"/>
        <v>0.18155720776858639</v>
      </c>
      <c r="CA20" s="1">
        <f t="shared" si="18"/>
        <v>0.95328469218084166</v>
      </c>
      <c r="CB20" s="1">
        <f t="shared" si="19"/>
        <v>1.779288482527474</v>
      </c>
      <c r="CC20" s="1">
        <f t="shared" si="57"/>
        <v>0.11926851450744369</v>
      </c>
      <c r="CD20" s="97">
        <f t="shared" si="58"/>
        <v>1.4575990229360878</v>
      </c>
      <c r="CE20" s="1"/>
      <c r="CF20" s="1"/>
      <c r="CG20" s="1"/>
      <c r="CH20" s="1"/>
      <c r="CI20" s="1"/>
      <c r="CJ20" s="1"/>
      <c r="CK20" s="1"/>
      <c r="CL20" s="70">
        <f t="shared" si="76"/>
        <v>0.6001352399616563</v>
      </c>
      <c r="CM20" s="1">
        <f t="shared" si="77"/>
        <v>0.56475408658799675</v>
      </c>
      <c r="CN20" s="1">
        <f t="shared" si="78"/>
        <v>0.82525924513582849</v>
      </c>
      <c r="CO20" s="1">
        <f t="shared" si="20"/>
        <v>-1.3032363424444699E-17</v>
      </c>
      <c r="CP20" s="1">
        <f t="shared" si="21"/>
        <v>1.4633408770189347</v>
      </c>
      <c r="CQ20" s="1">
        <f t="shared" si="22"/>
        <v>0.35407129588154923</v>
      </c>
      <c r="CR20" s="1">
        <f t="shared" si="59"/>
        <v>1.4633408770189347</v>
      </c>
      <c r="CS20" s="1">
        <f t="shared" si="60"/>
        <v>-8.9058972035235972E-18</v>
      </c>
      <c r="CT20" s="1">
        <f t="shared" si="61"/>
        <v>0.24438630822420279</v>
      </c>
      <c r="CU20" s="1">
        <f t="shared" si="23"/>
        <v>1.1510171582224631</v>
      </c>
      <c r="CV20" s="1">
        <f t="shared" si="24"/>
        <v>1.6564551176787714</v>
      </c>
      <c r="CW20" s="1">
        <f t="shared" si="62"/>
        <v>0.1276539396376839</v>
      </c>
      <c r="CX20" s="97">
        <f t="shared" si="63"/>
        <v>1.8014931607519871</v>
      </c>
      <c r="DF20" s="70">
        <f t="shared" si="25"/>
        <v>-0.79584590090201313</v>
      </c>
      <c r="DG20" s="1">
        <f t="shared" si="26"/>
        <v>-0.60549921718980204</v>
      </c>
      <c r="DH20" s="1">
        <f t="shared" si="27"/>
        <v>-0.2</v>
      </c>
      <c r="DI20" s="1">
        <f t="shared" si="64"/>
        <v>0.92000000000000037</v>
      </c>
      <c r="DJ20" s="1">
        <f t="shared" si="28"/>
        <v>1.009818942193135E-17</v>
      </c>
      <c r="DK20" s="1">
        <f t="shared" si="29"/>
        <v>1.5855773143261707</v>
      </c>
      <c r="DL20" s="1">
        <f t="shared" si="30"/>
        <v>-0.27435384498057264</v>
      </c>
      <c r="DM20" s="1">
        <f t="shared" si="31"/>
        <v>1.5855773143261707</v>
      </c>
      <c r="DN20" s="1">
        <f t="shared" si="32"/>
        <v>6.3687776879065773E-18</v>
      </c>
      <c r="DO20" s="1">
        <f t="shared" si="33"/>
        <v>-0.17390614378208488</v>
      </c>
      <c r="DP20" s="1">
        <f t="shared" si="34"/>
        <v>-0.1483164161182409</v>
      </c>
      <c r="DQ20" s="1">
        <f t="shared" si="35"/>
        <v>0.51503807491005427</v>
      </c>
      <c r="DR20" s="1">
        <f t="shared" si="65"/>
        <v>-0.1938181393768012</v>
      </c>
      <c r="DS20" s="97">
        <f t="shared" si="36"/>
        <v>11.175690855040754</v>
      </c>
      <c r="DT20" s="1"/>
      <c r="DU20" s="1"/>
      <c r="DV20" s="1"/>
    </row>
    <row r="21" spans="1:126" ht="24" customHeight="1" thickTop="1" thickBot="1">
      <c r="E21" s="107" t="s">
        <v>36</v>
      </c>
      <c r="F21" s="108"/>
      <c r="G21" s="109">
        <f>PI()/180</f>
        <v>1.7453292519943295E-2</v>
      </c>
      <c r="J21" s="70">
        <f t="shared" si="37"/>
        <v>0.28099800957108712</v>
      </c>
      <c r="K21" s="1">
        <f t="shared" si="38"/>
        <v>7.8436428749003126E-2</v>
      </c>
      <c r="L21" s="1">
        <f t="shared" si="39"/>
        <v>0.27174938205100407</v>
      </c>
      <c r="M21" s="1">
        <f t="shared" si="0"/>
        <v>-6.5068932720606526E-18</v>
      </c>
      <c r="N21" s="1">
        <f t="shared" si="1"/>
        <v>1.8275639692178736</v>
      </c>
      <c r="O21" s="1">
        <f t="shared" si="2"/>
        <v>0.17678329386364677</v>
      </c>
      <c r="P21" s="1">
        <f t="shared" si="40"/>
        <v>1.8275639692178736</v>
      </c>
      <c r="Q21" s="1">
        <f t="shared" si="41"/>
        <v>-3.5604188863743849E-18</v>
      </c>
      <c r="R21" s="1">
        <f t="shared" si="42"/>
        <v>9.6883150553298353E-2</v>
      </c>
      <c r="S21" s="1">
        <f t="shared" si="3"/>
        <v>0.3260008262347216</v>
      </c>
      <c r="T21" s="1">
        <f t="shared" si="4"/>
        <v>2.1220986868499554</v>
      </c>
      <c r="U21" s="1">
        <f t="shared" si="43"/>
        <v>0.11971974249725648</v>
      </c>
      <c r="V21" s="97">
        <f t="shared" si="66"/>
        <v>0.58446509860959273</v>
      </c>
      <c r="W21" s="1"/>
      <c r="X21" s="1"/>
      <c r="Y21" s="1"/>
      <c r="Z21" s="1"/>
      <c r="AA21" s="1"/>
      <c r="AB21" s="1"/>
      <c r="AC21" s="1"/>
      <c r="AD21" s="70">
        <f t="shared" si="67"/>
        <v>0.33116979895686383</v>
      </c>
      <c r="AE21" s="1">
        <f t="shared" si="68"/>
        <v>0.150261993330564</v>
      </c>
      <c r="AF21" s="1">
        <f t="shared" si="69"/>
        <v>0.43702099553489154</v>
      </c>
      <c r="AG21" s="1">
        <f t="shared" si="5"/>
        <v>-6.3570080805141501E-18</v>
      </c>
      <c r="AH21" s="1">
        <f t="shared" si="6"/>
        <v>1.7347841113899061</v>
      </c>
      <c r="AI21" s="1">
        <f t="shared" si="7"/>
        <v>0.17271112043846579</v>
      </c>
      <c r="AJ21" s="1">
        <f t="shared" si="44"/>
        <v>1.7347841113899061</v>
      </c>
      <c r="AK21" s="1">
        <f t="shared" si="45"/>
        <v>-3.6644375739762377E-18</v>
      </c>
      <c r="AL21" s="1">
        <f t="shared" si="46"/>
        <v>9.972290534881996E-2</v>
      </c>
      <c r="AM21" s="1">
        <f t="shared" si="8"/>
        <v>0.53616020280100785</v>
      </c>
      <c r="AN21" s="1">
        <f t="shared" si="9"/>
        <v>2.0138021350942519</v>
      </c>
      <c r="AO21" s="1">
        <f t="shared" si="47"/>
        <v>0.10739870335204138</v>
      </c>
      <c r="AP21" s="97">
        <f t="shared" si="48"/>
        <v>0.82201294157520655</v>
      </c>
      <c r="AQ21" s="1"/>
      <c r="AR21" s="1"/>
      <c r="AS21" s="1"/>
      <c r="AT21" s="1"/>
      <c r="AU21" s="1"/>
      <c r="AV21" s="1"/>
      <c r="AW21" s="1"/>
      <c r="AX21" s="70">
        <f t="shared" si="70"/>
        <v>0.51297202830408373</v>
      </c>
      <c r="AY21" s="1">
        <f t="shared" si="71"/>
        <v>0.31478965883900395</v>
      </c>
      <c r="AZ21" s="1">
        <f t="shared" si="72"/>
        <v>0.55886387155132233</v>
      </c>
      <c r="BA21" s="1">
        <f t="shared" si="10"/>
        <v>-9.4368997178367303E-18</v>
      </c>
      <c r="BB21" s="1">
        <f t="shared" si="11"/>
        <v>1.642098094629437</v>
      </c>
      <c r="BC21" s="1">
        <f t="shared" si="12"/>
        <v>0.25638751801007648</v>
      </c>
      <c r="BD21" s="1">
        <f t="shared" si="49"/>
        <v>1.642098094629437</v>
      </c>
      <c r="BE21" s="1">
        <f t="shared" si="50"/>
        <v>-5.7468550439834122E-18</v>
      </c>
      <c r="BF21" s="1">
        <f t="shared" si="51"/>
        <v>0.15677553696975072</v>
      </c>
      <c r="BG21" s="1">
        <f t="shared" si="13"/>
        <v>0.74610701620214681</v>
      </c>
      <c r="BH21" s="1">
        <f t="shared" si="14"/>
        <v>1.8922317524107273</v>
      </c>
      <c r="BI21" s="1">
        <f t="shared" si="52"/>
        <v>0.11782429626823365</v>
      </c>
      <c r="BJ21" s="97">
        <f t="shared" si="53"/>
        <v>1.1738439457033487</v>
      </c>
      <c r="BK21" s="1"/>
      <c r="BL21" s="1"/>
      <c r="BM21" s="1"/>
      <c r="BN21" s="1"/>
      <c r="BO21" s="1"/>
      <c r="BP21" s="1"/>
      <c r="BQ21" s="1"/>
      <c r="BR21" s="70">
        <f t="shared" si="73"/>
        <v>0.59451890201032476</v>
      </c>
      <c r="BS21" s="1">
        <f t="shared" si="74"/>
        <v>0.45968847874951124</v>
      </c>
      <c r="BT21" s="1">
        <f t="shared" si="75"/>
        <v>0.6798915499422995</v>
      </c>
      <c r="BU21" s="1">
        <f t="shared" si="15"/>
        <v>-1.1966395114375775E-17</v>
      </c>
      <c r="BV21" s="1">
        <f t="shared" si="16"/>
        <v>1.5540651010599014</v>
      </c>
      <c r="BW21" s="1">
        <f t="shared" si="17"/>
        <v>0.32511041068962548</v>
      </c>
      <c r="BX21" s="1">
        <f t="shared" si="54"/>
        <v>1.5540651010599014</v>
      </c>
      <c r="BY21" s="1">
        <f t="shared" si="55"/>
        <v>-7.700060381134916E-18</v>
      </c>
      <c r="BZ21" s="1">
        <f t="shared" si="56"/>
        <v>0.21075678024988043</v>
      </c>
      <c r="CA21" s="1">
        <f t="shared" si="18"/>
        <v>0.94551408018086014</v>
      </c>
      <c r="CB21" s="1">
        <f t="shared" si="19"/>
        <v>1.7729072365961496</v>
      </c>
      <c r="CC21" s="1">
        <f t="shared" si="57"/>
        <v>0.12564976043876808</v>
      </c>
      <c r="CD21" s="97">
        <f t="shared" si="58"/>
        <v>1.510673051670874</v>
      </c>
      <c r="CE21" s="1"/>
      <c r="CF21" s="1"/>
      <c r="CG21" s="1"/>
      <c r="CH21" s="1"/>
      <c r="CI21" s="1"/>
      <c r="CJ21" s="1"/>
      <c r="CK21" s="1"/>
      <c r="CL21" s="70">
        <f t="shared" si="76"/>
        <v>0.66692633669098855</v>
      </c>
      <c r="CM21" s="1">
        <f t="shared" si="77"/>
        <v>0.61857385358368322</v>
      </c>
      <c r="CN21" s="1">
        <f t="shared" si="78"/>
        <v>0.78572666218134157</v>
      </c>
      <c r="CO21" s="1">
        <f t="shared" si="20"/>
        <v>-1.5098392092815153E-17</v>
      </c>
      <c r="CP21" s="1">
        <f t="shared" si="21"/>
        <v>1.4700793629410649</v>
      </c>
      <c r="CQ21" s="1">
        <f t="shared" si="22"/>
        <v>0.41020243833927483</v>
      </c>
      <c r="CR21" s="1">
        <f t="shared" si="59"/>
        <v>1.4700793629410649</v>
      </c>
      <c r="CS21" s="1">
        <f t="shared" si="60"/>
        <v>-1.0270460543442405E-17</v>
      </c>
      <c r="CT21" s="1">
        <f t="shared" si="61"/>
        <v>0.28278822864683717</v>
      </c>
      <c r="CU21" s="1">
        <f t="shared" si="23"/>
        <v>1.1357535435376747</v>
      </c>
      <c r="CV21" s="1">
        <f t="shared" si="24"/>
        <v>1.6469241372450305</v>
      </c>
      <c r="CW21" s="1">
        <f t="shared" si="62"/>
        <v>0.1371849200714248</v>
      </c>
      <c r="CX21" s="97">
        <f t="shared" si="63"/>
        <v>1.8682842574813194</v>
      </c>
      <c r="DF21" s="70">
        <f t="shared" si="25"/>
        <v>-0.80349729555539884</v>
      </c>
      <c r="DG21" s="1">
        <f t="shared" si="26"/>
        <v>-0.59530840413617558</v>
      </c>
      <c r="DH21" s="1">
        <f t="shared" si="27"/>
        <v>-0.2</v>
      </c>
      <c r="DI21" s="1">
        <f t="shared" si="64"/>
        <v>0.98000000000000043</v>
      </c>
      <c r="DJ21" s="1">
        <f t="shared" si="28"/>
        <v>1.0898203384631624E-17</v>
      </c>
      <c r="DK21" s="1">
        <f t="shared" si="29"/>
        <v>1.5575703332514896</v>
      </c>
      <c r="DL21" s="1">
        <f t="shared" si="30"/>
        <v>-0.29608911825919432</v>
      </c>
      <c r="DM21" s="1">
        <f t="shared" si="31"/>
        <v>1.5575703332514896</v>
      </c>
      <c r="DN21" s="1">
        <f t="shared" si="32"/>
        <v>6.9969253727895515E-18</v>
      </c>
      <c r="DO21" s="1">
        <f t="shared" si="33"/>
        <v>-0.19126073180398118</v>
      </c>
      <c r="DP21" s="1">
        <f t="shared" si="34"/>
        <v>-0.16294475109556622</v>
      </c>
      <c r="DQ21" s="1">
        <f t="shared" si="35"/>
        <v>0.51503807491005427</v>
      </c>
      <c r="DR21" s="1">
        <f t="shared" si="65"/>
        <v>-0.17568082761383738</v>
      </c>
      <c r="DS21" s="97">
        <f t="shared" si="36"/>
        <v>10.118280492763679</v>
      </c>
      <c r="DT21" s="1"/>
      <c r="DU21" s="1"/>
      <c r="DV21" s="1"/>
    </row>
    <row r="22" spans="1:126" ht="24" customHeight="1" thickTop="1" thickBot="1">
      <c r="A22" s="106" t="s">
        <v>54</v>
      </c>
      <c r="B22" s="161" t="s">
        <v>42</v>
      </c>
      <c r="C22" s="47">
        <f>'Input Output'!D17</f>
        <v>10</v>
      </c>
      <c r="E22" s="110" t="s">
        <v>37</v>
      </c>
      <c r="F22" s="111"/>
      <c r="G22" s="112">
        <f>180/PI()</f>
        <v>57.295779513082323</v>
      </c>
      <c r="J22" s="70">
        <f t="shared" si="37"/>
        <v>0.36302848441482061</v>
      </c>
      <c r="K22" s="1">
        <f t="shared" si="38"/>
        <v>0.10043941646614009</v>
      </c>
      <c r="L22" s="1">
        <f t="shared" si="39"/>
        <v>0.26440863000276921</v>
      </c>
      <c r="M22" s="1">
        <f t="shared" si="0"/>
        <v>-7.2339234473633483E-18</v>
      </c>
      <c r="N22" s="1">
        <f t="shared" si="1"/>
        <v>1.82620123838187</v>
      </c>
      <c r="O22" s="1">
        <f t="shared" si="2"/>
        <v>0.19653569854502428</v>
      </c>
      <c r="P22" s="1">
        <f t="shared" si="40"/>
        <v>1.82620123838187</v>
      </c>
      <c r="Q22" s="1">
        <f t="shared" si="41"/>
        <v>-3.9611863661712672E-18</v>
      </c>
      <c r="R22" s="1">
        <f t="shared" si="42"/>
        <v>0.10782879053437704</v>
      </c>
      <c r="S22" s="1">
        <f t="shared" si="3"/>
        <v>0.32908760249873759</v>
      </c>
      <c r="T22" s="1">
        <f t="shared" si="4"/>
        <v>2.1181335951854039</v>
      </c>
      <c r="U22" s="1">
        <f t="shared" si="43"/>
        <v>0.12368483416180798</v>
      </c>
      <c r="V22" s="97">
        <f t="shared" si="66"/>
        <v>0.60766682061997523</v>
      </c>
      <c r="W22" s="1"/>
      <c r="X22" s="1"/>
      <c r="Y22" s="1"/>
      <c r="Z22" s="1"/>
      <c r="AA22" s="1"/>
      <c r="AB22" s="1"/>
      <c r="AC22" s="1"/>
      <c r="AD22" s="70">
        <f t="shared" si="67"/>
        <v>0.39107291029982066</v>
      </c>
      <c r="AE22" s="1">
        <f t="shared" si="68"/>
        <v>0.17615573866826992</v>
      </c>
      <c r="AF22" s="1">
        <f t="shared" si="69"/>
        <v>0.42724135206252961</v>
      </c>
      <c r="AG22" s="1">
        <f t="shared" si="5"/>
        <v>-7.2278094059643983E-18</v>
      </c>
      <c r="AH22" s="1">
        <f t="shared" si="6"/>
        <v>1.7337129338568746</v>
      </c>
      <c r="AI22" s="1">
        <f t="shared" si="7"/>
        <v>0.19636958849340166</v>
      </c>
      <c r="AJ22" s="1">
        <f t="shared" si="44"/>
        <v>1.7337129338568746</v>
      </c>
      <c r="AK22" s="1">
        <f t="shared" si="45"/>
        <v>-4.1689770346727336E-18</v>
      </c>
      <c r="AL22" s="1">
        <f t="shared" si="46"/>
        <v>0.11350893185158802</v>
      </c>
      <c r="AM22" s="1">
        <f t="shared" si="8"/>
        <v>0.53858656998677223</v>
      </c>
      <c r="AN22" s="1">
        <f t="shared" si="9"/>
        <v>2.0095914762221185</v>
      </c>
      <c r="AO22" s="1">
        <f t="shared" si="47"/>
        <v>0.11160936222417472</v>
      </c>
      <c r="AP22" s="97">
        <f t="shared" si="48"/>
        <v>0.84969608828437915</v>
      </c>
      <c r="AQ22" s="1"/>
      <c r="AR22" s="1"/>
      <c r="AS22" s="1"/>
      <c r="AT22" s="1"/>
      <c r="AU22" s="1"/>
      <c r="AV22" s="1"/>
      <c r="AW22" s="1"/>
      <c r="AX22" s="70">
        <f t="shared" si="70"/>
        <v>0.57682332263162628</v>
      </c>
      <c r="AY22" s="1">
        <f t="shared" si="71"/>
        <v>0.34980811919292976</v>
      </c>
      <c r="AZ22" s="1">
        <f t="shared" si="72"/>
        <v>0.53763894574706406</v>
      </c>
      <c r="BA22" s="1">
        <f t="shared" si="10"/>
        <v>-1.0721218884867877E-17</v>
      </c>
      <c r="BB22" s="1">
        <f t="shared" si="11"/>
        <v>1.6443832540294541</v>
      </c>
      <c r="BC22" s="1">
        <f t="shared" si="12"/>
        <v>0.29128069409686952</v>
      </c>
      <c r="BD22" s="1">
        <f t="shared" si="49"/>
        <v>1.6443832540294541</v>
      </c>
      <c r="BE22" s="1">
        <f t="shared" si="50"/>
        <v>-6.5199027407973344E-18</v>
      </c>
      <c r="BF22" s="1">
        <f t="shared" si="51"/>
        <v>0.17807642184833331</v>
      </c>
      <c r="BG22" s="1">
        <f t="shared" si="13"/>
        <v>0.74093081000712702</v>
      </c>
      <c r="BH22" s="1">
        <f t="shared" si="14"/>
        <v>1.8880554433609014</v>
      </c>
      <c r="BI22" s="1">
        <f t="shared" si="52"/>
        <v>0.12200060531805956</v>
      </c>
      <c r="BJ22" s="97">
        <f t="shared" si="53"/>
        <v>1.2147995295084288</v>
      </c>
      <c r="BK22" s="1"/>
      <c r="BL22" s="1"/>
      <c r="BM22" s="1"/>
      <c r="BN22" s="1"/>
      <c r="BO22" s="1"/>
      <c r="BP22" s="1"/>
      <c r="BQ22" s="1"/>
      <c r="BR22" s="70">
        <f t="shared" si="73"/>
        <v>0.65918728046550656</v>
      </c>
      <c r="BS22" s="1">
        <f t="shared" si="74"/>
        <v>0.50266445040225216</v>
      </c>
      <c r="BT22" s="1">
        <f t="shared" si="75"/>
        <v>0.64876379945230001</v>
      </c>
      <c r="BU22" s="1">
        <f t="shared" si="15"/>
        <v>-1.3610290726934502E-17</v>
      </c>
      <c r="BV22" s="1">
        <f t="shared" si="16"/>
        <v>1.5592406631667126</v>
      </c>
      <c r="BW22" s="1">
        <f t="shared" si="17"/>
        <v>0.36977278165611516</v>
      </c>
      <c r="BX22" s="1">
        <f t="shared" si="54"/>
        <v>1.5592406631667126</v>
      </c>
      <c r="BY22" s="1">
        <f t="shared" si="55"/>
        <v>-8.7287941165496034E-18</v>
      </c>
      <c r="BZ22" s="1">
        <f t="shared" si="56"/>
        <v>0.23943035270470892</v>
      </c>
      <c r="CA22" s="1">
        <f t="shared" si="18"/>
        <v>0.93379070690554922</v>
      </c>
      <c r="CB22" s="1">
        <f t="shared" si="19"/>
        <v>1.7671702509515923</v>
      </c>
      <c r="CC22" s="1">
        <f t="shared" si="57"/>
        <v>0.13138674608332535</v>
      </c>
      <c r="CD22" s="97">
        <f t="shared" si="58"/>
        <v>1.5637470804056599</v>
      </c>
      <c r="CE22" s="1"/>
      <c r="CF22" s="1"/>
      <c r="CG22" s="1"/>
      <c r="CH22" s="1"/>
      <c r="CI22" s="1"/>
      <c r="CJ22" s="1"/>
      <c r="CK22" s="1"/>
      <c r="CL22" s="70">
        <f t="shared" si="76"/>
        <v>0.73371743342032081</v>
      </c>
      <c r="CM22" s="1">
        <f t="shared" si="77"/>
        <v>0.66963515701650456</v>
      </c>
      <c r="CN22" s="1">
        <f t="shared" si="78"/>
        <v>0.74269021569391991</v>
      </c>
      <c r="CO22" s="1">
        <f t="shared" si="20"/>
        <v>-1.7132264457724656E-17</v>
      </c>
      <c r="CP22" s="1">
        <f t="shared" si="21"/>
        <v>1.4790538124384518</v>
      </c>
      <c r="CQ22" s="1">
        <f t="shared" si="22"/>
        <v>0.46545993849081496</v>
      </c>
      <c r="CR22" s="1">
        <f t="shared" si="59"/>
        <v>1.4790538124384518</v>
      </c>
      <c r="CS22" s="1">
        <f t="shared" si="60"/>
        <v>-1.1583259725675184E-17</v>
      </c>
      <c r="CT22" s="1">
        <f t="shared" si="61"/>
        <v>0.32014179247860419</v>
      </c>
      <c r="CU22" s="1">
        <f t="shared" si="23"/>
        <v>1.115425158093351</v>
      </c>
      <c r="CV22" s="1">
        <f t="shared" si="24"/>
        <v>1.6378416188545315</v>
      </c>
      <c r="CW22" s="1">
        <f t="shared" si="62"/>
        <v>0.1462674384619238</v>
      </c>
      <c r="CX22" s="97">
        <f t="shared" si="63"/>
        <v>1.9350753542106518</v>
      </c>
      <c r="DF22" s="70">
        <f t="shared" si="25"/>
        <v>-0.81018973258007665</v>
      </c>
      <c r="DG22" s="1">
        <f t="shared" si="26"/>
        <v>-0.58616772106780479</v>
      </c>
      <c r="DH22" s="1">
        <f t="shared" si="27"/>
        <v>-0.2</v>
      </c>
      <c r="DI22" s="1">
        <f t="shared" si="64"/>
        <v>1.0400000000000005</v>
      </c>
      <c r="DJ22" s="1">
        <f t="shared" si="28"/>
        <v>1.1698217347331898E-17</v>
      </c>
      <c r="DK22" s="1">
        <f t="shared" si="29"/>
        <v>1.5295633521768088</v>
      </c>
      <c r="DL22" s="1">
        <f t="shared" si="30"/>
        <v>-0.317824391537816</v>
      </c>
      <c r="DM22" s="1">
        <f t="shared" si="31"/>
        <v>1.5295633521768088</v>
      </c>
      <c r="DN22" s="1">
        <f t="shared" si="32"/>
        <v>7.6480763811995738E-18</v>
      </c>
      <c r="DO22" s="1">
        <f t="shared" si="33"/>
        <v>-0.20931271138890814</v>
      </c>
      <c r="DP22" s="1">
        <f t="shared" si="34"/>
        <v>-0.17810878863177013</v>
      </c>
      <c r="DQ22" s="1">
        <f t="shared" si="35"/>
        <v>0.51503807491005427</v>
      </c>
      <c r="DR22" s="1">
        <f t="shared" si="65"/>
        <v>-0.15759678280144057</v>
      </c>
      <c r="DS22" s="97">
        <f t="shared" si="36"/>
        <v>9.0674323289029477</v>
      </c>
      <c r="DT22" s="1"/>
      <c r="DU22" s="1"/>
      <c r="DV22" s="1"/>
    </row>
    <row r="23" spans="1:126" ht="24" customHeight="1" thickTop="1">
      <c r="A23" s="185" t="s">
        <v>58</v>
      </c>
      <c r="B23" s="185"/>
      <c r="C23" s="185"/>
      <c r="E23" s="192" t="s">
        <v>79</v>
      </c>
      <c r="F23" s="192"/>
      <c r="G23" s="192"/>
      <c r="J23" s="70">
        <f t="shared" si="37"/>
        <v>0.4450589592585541</v>
      </c>
      <c r="K23" s="1">
        <f t="shared" si="38"/>
        <v>0.12176692637168153</v>
      </c>
      <c r="L23" s="1">
        <f t="shared" si="39"/>
        <v>0.25528967006518993</v>
      </c>
      <c r="M23" s="1">
        <f t="shared" si="0"/>
        <v>-7.9653489133470557E-18</v>
      </c>
      <c r="N23" s="1">
        <f t="shared" si="1"/>
        <v>1.825815572328314</v>
      </c>
      <c r="O23" s="1">
        <f t="shared" si="2"/>
        <v>0.21640751719733853</v>
      </c>
      <c r="P23" s="1">
        <f t="shared" si="40"/>
        <v>1.825815572328314</v>
      </c>
      <c r="Q23" s="1">
        <f t="shared" si="41"/>
        <v>-4.3626251380852746E-18</v>
      </c>
      <c r="R23" s="1">
        <f t="shared" si="42"/>
        <v>0.11880578304248425</v>
      </c>
      <c r="S23" s="1">
        <f t="shared" si="3"/>
        <v>0.32996119014238751</v>
      </c>
      <c r="T23" s="1">
        <f t="shared" si="4"/>
        <v>2.1150424152132992</v>
      </c>
      <c r="U23" s="1">
        <f t="shared" si="43"/>
        <v>0.12677601413391271</v>
      </c>
      <c r="V23" s="97">
        <f t="shared" si="66"/>
        <v>0.63086854263035774</v>
      </c>
      <c r="W23" s="1"/>
      <c r="X23" s="1"/>
      <c r="Y23" s="1"/>
      <c r="Z23" s="1"/>
      <c r="AA23" s="1"/>
      <c r="AB23" s="1"/>
      <c r="AC23" s="1"/>
      <c r="AD23" s="70">
        <f t="shared" si="67"/>
        <v>0.4509760216427775</v>
      </c>
      <c r="AE23" s="1">
        <f t="shared" si="68"/>
        <v>0.20141755879198125</v>
      </c>
      <c r="AF23" s="1">
        <f t="shared" si="69"/>
        <v>0.41592906148556258</v>
      </c>
      <c r="AG23" s="1">
        <f t="shared" si="5"/>
        <v>-8.1009771608487593E-18</v>
      </c>
      <c r="AH23" s="1">
        <f t="shared" si="6"/>
        <v>1.7334947176479056</v>
      </c>
      <c r="AI23" s="1">
        <f t="shared" si="7"/>
        <v>0.22009234916427078</v>
      </c>
      <c r="AJ23" s="1">
        <f t="shared" si="44"/>
        <v>1.7334947176479056</v>
      </c>
      <c r="AK23" s="1">
        <f t="shared" si="45"/>
        <v>-4.6732055646760666E-18</v>
      </c>
      <c r="AL23" s="1">
        <f t="shared" si="46"/>
        <v>0.12730814374227478</v>
      </c>
      <c r="AM23" s="1">
        <f t="shared" si="8"/>
        <v>0.53908086027247903</v>
      </c>
      <c r="AN23" s="1">
        <f t="shared" si="9"/>
        <v>2.0059864503907039</v>
      </c>
      <c r="AO23" s="1">
        <f t="shared" si="47"/>
        <v>0.11521438805558937</v>
      </c>
      <c r="AP23" s="97">
        <f t="shared" si="48"/>
        <v>0.87737923499355164</v>
      </c>
      <c r="AQ23" s="1"/>
      <c r="AR23" s="1"/>
      <c r="AS23" s="1"/>
      <c r="AT23" s="1"/>
      <c r="AU23" s="1"/>
      <c r="AV23" s="1"/>
      <c r="AW23" s="1"/>
      <c r="AX23" s="70">
        <f t="shared" si="70"/>
        <v>0.64067461695916883</v>
      </c>
      <c r="AY23" s="1">
        <f t="shared" si="71"/>
        <v>0.38340090058873688</v>
      </c>
      <c r="AZ23" s="1">
        <f t="shared" si="72"/>
        <v>0.51422281713772189</v>
      </c>
      <c r="BA23" s="1">
        <f t="shared" si="10"/>
        <v>-1.1993988842502837E-17</v>
      </c>
      <c r="BB23" s="1">
        <f t="shared" si="11"/>
        <v>1.6480015493794877</v>
      </c>
      <c r="BC23" s="1">
        <f t="shared" si="12"/>
        <v>0.32586009413214106</v>
      </c>
      <c r="BD23" s="1">
        <f t="shared" si="49"/>
        <v>1.6480015493794877</v>
      </c>
      <c r="BE23" s="1">
        <f t="shared" si="50"/>
        <v>-7.2778990086622575E-18</v>
      </c>
      <c r="BF23" s="1">
        <f t="shared" si="51"/>
        <v>0.19904212012591027</v>
      </c>
      <c r="BG23" s="1">
        <f t="shared" si="13"/>
        <v>0.73273486411113609</v>
      </c>
      <c r="BH23" s="1">
        <f t="shared" si="14"/>
        <v>1.8846543881851716</v>
      </c>
      <c r="BI23" s="1">
        <f t="shared" si="52"/>
        <v>0.12540166049378931</v>
      </c>
      <c r="BJ23" s="97">
        <f t="shared" si="53"/>
        <v>1.2557551133135088</v>
      </c>
      <c r="BK23" s="1"/>
      <c r="BL23" s="1"/>
      <c r="BM23" s="1"/>
      <c r="BN23" s="1"/>
      <c r="BO23" s="1"/>
      <c r="BP23" s="1"/>
      <c r="BQ23" s="1"/>
      <c r="BR23" s="70">
        <f t="shared" si="73"/>
        <v>0.72385565892068837</v>
      </c>
      <c r="BS23" s="1">
        <f t="shared" si="74"/>
        <v>0.54353901223394108</v>
      </c>
      <c r="BT23" s="1">
        <f t="shared" si="75"/>
        <v>0.61492386468385973</v>
      </c>
      <c r="BU23" s="1">
        <f t="shared" si="15"/>
        <v>-1.5230261873596073E-17</v>
      </c>
      <c r="BV23" s="1">
        <f t="shared" si="16"/>
        <v>1.5661396291456273</v>
      </c>
      <c r="BW23" s="1">
        <f t="shared" si="17"/>
        <v>0.41378515796180598</v>
      </c>
      <c r="BX23" s="1">
        <f t="shared" si="54"/>
        <v>1.5661396291456273</v>
      </c>
      <c r="BY23" s="1">
        <f t="shared" si="55"/>
        <v>-9.7247152106767162E-18</v>
      </c>
      <c r="BZ23" s="1">
        <f t="shared" si="56"/>
        <v>0.26738168245069088</v>
      </c>
      <c r="CA23" s="1">
        <f t="shared" si="18"/>
        <v>0.91816358240866691</v>
      </c>
      <c r="CB23" s="1">
        <f t="shared" si="19"/>
        <v>1.7621862036974183</v>
      </c>
      <c r="CC23" s="1">
        <f t="shared" si="57"/>
        <v>0.13637079333749935</v>
      </c>
      <c r="CD23" s="97">
        <f t="shared" si="58"/>
        <v>1.6168211091404461</v>
      </c>
      <c r="CE23" s="1"/>
      <c r="CF23" s="1"/>
      <c r="CG23" s="1"/>
      <c r="CH23" s="1"/>
      <c r="CI23" s="1"/>
      <c r="CJ23" s="1"/>
      <c r="CK23" s="1"/>
      <c r="CL23" s="70">
        <f t="shared" si="76"/>
        <v>0.80050853014965306</v>
      </c>
      <c r="CM23" s="1">
        <f t="shared" si="77"/>
        <v>0.71771029449623558</v>
      </c>
      <c r="CN23" s="1">
        <f t="shared" si="78"/>
        <v>0.69634182207743833</v>
      </c>
      <c r="CO23" s="1">
        <f t="shared" si="20"/>
        <v>-1.9124910684136357E-17</v>
      </c>
      <c r="CP23" s="1">
        <f t="shared" si="21"/>
        <v>1.490224204918903</v>
      </c>
      <c r="CQ23" s="1">
        <f t="shared" si="22"/>
        <v>0.51959738145804346</v>
      </c>
      <c r="CR23" s="1">
        <f t="shared" si="59"/>
        <v>1.490224204918903</v>
      </c>
      <c r="CS23" s="1">
        <f t="shared" si="60"/>
        <v>-1.2833579417787757E-17</v>
      </c>
      <c r="CT23" s="1">
        <f t="shared" si="61"/>
        <v>0.35615232664753338</v>
      </c>
      <c r="CU23" s="1">
        <f t="shared" si="23"/>
        <v>1.0901226541377487</v>
      </c>
      <c r="CV23" s="1">
        <f t="shared" si="24"/>
        <v>1.6294434863392742</v>
      </c>
      <c r="CW23" s="1">
        <f t="shared" si="62"/>
        <v>0.15466557097718114</v>
      </c>
      <c r="CX23" s="97">
        <f t="shared" si="63"/>
        <v>2.0018664509399837</v>
      </c>
      <c r="DF23" s="70">
        <f t="shared" si="25"/>
        <v>-0.81608870801179467</v>
      </c>
      <c r="DG23" s="1">
        <f t="shared" si="26"/>
        <v>-0.57792665681350919</v>
      </c>
      <c r="DH23" s="1">
        <f t="shared" si="27"/>
        <v>-0.2</v>
      </c>
      <c r="DI23" s="1">
        <f t="shared" si="64"/>
        <v>1.1000000000000005</v>
      </c>
      <c r="DJ23" s="1">
        <f t="shared" si="28"/>
        <v>1.2498231310032172E-17</v>
      </c>
      <c r="DK23" s="1">
        <f t="shared" si="29"/>
        <v>1.501556371102128</v>
      </c>
      <c r="DL23" s="1">
        <f t="shared" si="30"/>
        <v>-0.33955966481643762</v>
      </c>
      <c r="DM23" s="1">
        <f t="shared" si="31"/>
        <v>1.501556371102128</v>
      </c>
      <c r="DN23" s="1">
        <f t="shared" si="32"/>
        <v>8.3235178848853947E-18</v>
      </c>
      <c r="DO23" s="1">
        <f t="shared" si="33"/>
        <v>-0.22811162714012367</v>
      </c>
      <c r="DP23" s="1">
        <f t="shared" si="34"/>
        <v>-0.19383850444747872</v>
      </c>
      <c r="DQ23" s="1">
        <f t="shared" si="35"/>
        <v>0.51503807491005427</v>
      </c>
      <c r="DR23" s="1">
        <f t="shared" si="65"/>
        <v>-0.13946481810695194</v>
      </c>
      <c r="DS23" s="97">
        <f t="shared" si="36"/>
        <v>8.0168787706118003</v>
      </c>
      <c r="DT23" s="1"/>
      <c r="DU23" s="1"/>
      <c r="DV23" s="1"/>
    </row>
    <row r="24" spans="1:126" ht="24" customHeight="1" thickBot="1">
      <c r="A24" s="10"/>
      <c r="B24" s="6"/>
      <c r="C24" s="6"/>
      <c r="J24" s="70">
        <f t="shared" si="37"/>
        <v>0.52708943410228759</v>
      </c>
      <c r="K24" s="1">
        <f t="shared" si="38"/>
        <v>0.14227552613373382</v>
      </c>
      <c r="L24" s="1">
        <f t="shared" si="39"/>
        <v>0.24445382930805001</v>
      </c>
      <c r="M24" s="1">
        <f t="shared" si="0"/>
        <v>-8.6962506681847005E-18</v>
      </c>
      <c r="N24" s="1">
        <f t="shared" si="1"/>
        <v>1.8264095647487166</v>
      </c>
      <c r="O24" s="1">
        <f t="shared" si="2"/>
        <v>0.23626510734188977</v>
      </c>
      <c r="P24" s="1">
        <f t="shared" si="40"/>
        <v>1.8264095647487166</v>
      </c>
      <c r="Q24" s="1">
        <f t="shared" si="41"/>
        <v>-4.7613913308547299E-18</v>
      </c>
      <c r="R24" s="1">
        <f t="shared" si="42"/>
        <v>0.12972395242453474</v>
      </c>
      <c r="S24" s="1">
        <f t="shared" si="3"/>
        <v>0.32861571409101914</v>
      </c>
      <c r="T24" s="1">
        <f t="shared" si="4"/>
        <v>2.1128470657366067</v>
      </c>
      <c r="U24" s="1">
        <f t="shared" si="43"/>
        <v>0.12897136361060513</v>
      </c>
      <c r="V24" s="97">
        <f t="shared" si="66"/>
        <v>0.65407026464074036</v>
      </c>
      <c r="W24" s="1"/>
      <c r="X24" s="1"/>
      <c r="Y24" s="1"/>
      <c r="Z24" s="1"/>
      <c r="AA24" s="1"/>
      <c r="AB24" s="1"/>
      <c r="AC24" s="1"/>
      <c r="AD24" s="70">
        <f t="shared" si="67"/>
        <v>0.5108791329857344</v>
      </c>
      <c r="AE24" s="1">
        <f t="shared" si="68"/>
        <v>0.22595683172589259</v>
      </c>
      <c r="AF24" s="1">
        <f t="shared" si="69"/>
        <v>0.40312470449524529</v>
      </c>
      <c r="AG24" s="1">
        <f t="shared" si="5"/>
        <v>-8.9733790218916495E-18</v>
      </c>
      <c r="AH24" s="1">
        <f t="shared" si="6"/>
        <v>1.7341302455721512</v>
      </c>
      <c r="AI24" s="1">
        <f t="shared" si="7"/>
        <v>0.24379430155838092</v>
      </c>
      <c r="AJ24" s="1">
        <f t="shared" si="44"/>
        <v>1.7341302455721512</v>
      </c>
      <c r="AK24" s="1">
        <f t="shared" si="45"/>
        <v>-5.1745703904328208E-18</v>
      </c>
      <c r="AL24" s="1">
        <f t="shared" si="46"/>
        <v>0.14105319058103971</v>
      </c>
      <c r="AM24" s="1">
        <f t="shared" si="8"/>
        <v>0.53764130048572456</v>
      </c>
      <c r="AN24" s="1">
        <f t="shared" si="9"/>
        <v>2.0030018616745706</v>
      </c>
      <c r="AO24" s="1">
        <f t="shared" si="47"/>
        <v>0.11819897677172264</v>
      </c>
      <c r="AP24" s="97">
        <f t="shared" si="48"/>
        <v>0.90506238170272413</v>
      </c>
      <c r="AQ24" s="1"/>
      <c r="AR24" s="1"/>
      <c r="AS24" s="1"/>
      <c r="AT24" s="1"/>
      <c r="AU24" s="1"/>
      <c r="AV24" s="1"/>
      <c r="AW24" s="1"/>
      <c r="AX24" s="70">
        <f t="shared" si="70"/>
        <v>0.70452591128671138</v>
      </c>
      <c r="AY24" s="1">
        <f t="shared" si="71"/>
        <v>0.41543109219173363</v>
      </c>
      <c r="AZ24" s="1">
        <f t="shared" si="72"/>
        <v>0.48871092056316157</v>
      </c>
      <c r="BA24" s="1">
        <f t="shared" si="10"/>
        <v>-1.3250022285909149E-17</v>
      </c>
      <c r="BB24" s="1">
        <f t="shared" si="11"/>
        <v>1.6529382339447944</v>
      </c>
      <c r="BC24" s="1">
        <f t="shared" si="12"/>
        <v>0.35998478621548713</v>
      </c>
      <c r="BD24" s="1">
        <f t="shared" si="49"/>
        <v>1.6529382339447944</v>
      </c>
      <c r="BE24" s="1">
        <f t="shared" si="50"/>
        <v>-8.0160419874174674E-18</v>
      </c>
      <c r="BF24" s="1">
        <f t="shared" si="51"/>
        <v>0.21954419135493053</v>
      </c>
      <c r="BG24" s="1">
        <f t="shared" si="13"/>
        <v>0.72155258193440519</v>
      </c>
      <c r="BH24" s="1">
        <f t="shared" si="14"/>
        <v>1.8820858621709227</v>
      </c>
      <c r="BI24" s="1">
        <f t="shared" si="52"/>
        <v>0.12797018650803826</v>
      </c>
      <c r="BJ24" s="97">
        <f t="shared" si="53"/>
        <v>1.2967106971185887</v>
      </c>
      <c r="BK24" s="1"/>
      <c r="BL24" s="1"/>
      <c r="BM24" s="1"/>
      <c r="BN24" s="1"/>
      <c r="BO24" s="1"/>
      <c r="BP24" s="1"/>
      <c r="BQ24" s="1"/>
      <c r="BR24" s="70">
        <f t="shared" si="73"/>
        <v>0.78852403737587018</v>
      </c>
      <c r="BS24" s="1">
        <f t="shared" si="74"/>
        <v>0.58214128642420404</v>
      </c>
      <c r="BT24" s="1">
        <f t="shared" si="75"/>
        <v>0.57851321490382135</v>
      </c>
      <c r="BU24" s="1">
        <f t="shared" si="15"/>
        <v>-1.6819536197026106E-17</v>
      </c>
      <c r="BV24" s="1">
        <f t="shared" si="16"/>
        <v>1.5747331575799672</v>
      </c>
      <c r="BW24" s="1">
        <f t="shared" si="17"/>
        <v>0.45696354402128786</v>
      </c>
      <c r="BX24" s="1">
        <f t="shared" si="54"/>
        <v>1.5747331575799672</v>
      </c>
      <c r="BY24" s="1">
        <f t="shared" si="55"/>
        <v>-1.0680880196156018E-17</v>
      </c>
      <c r="BZ24" s="1">
        <f t="shared" si="56"/>
        <v>0.29441988681627262</v>
      </c>
      <c r="CA24" s="1">
        <f t="shared" si="18"/>
        <v>0.89869803653971081</v>
      </c>
      <c r="CB24" s="1">
        <f t="shared" si="19"/>
        <v>1.7580855005264802</v>
      </c>
      <c r="CC24" s="1">
        <f t="shared" si="57"/>
        <v>0.14047149650843749</v>
      </c>
      <c r="CD24" s="97">
        <f t="shared" si="58"/>
        <v>1.6698951378752322</v>
      </c>
      <c r="CE24" s="1"/>
      <c r="CF24" s="1"/>
      <c r="CG24" s="1"/>
      <c r="CH24" s="1"/>
      <c r="CI24" s="1"/>
      <c r="CJ24" s="1"/>
      <c r="CK24" s="1"/>
      <c r="CL24" s="70">
        <f t="shared" si="76"/>
        <v>0.86729962687898532</v>
      </c>
      <c r="CM24" s="1">
        <f t="shared" si="77"/>
        <v>0.76258488011851067</v>
      </c>
      <c r="CN24" s="1">
        <f t="shared" si="78"/>
        <v>0.64688816700774232</v>
      </c>
      <c r="CO24" s="1">
        <f t="shared" si="20"/>
        <v>-2.1067444780543513E-17</v>
      </c>
      <c r="CP24" s="1">
        <f t="shared" si="21"/>
        <v>1.5035407272187005</v>
      </c>
      <c r="CQ24" s="1">
        <f t="shared" si="22"/>
        <v>0.57237334713736787</v>
      </c>
      <c r="CR24" s="1">
        <f t="shared" si="59"/>
        <v>1.5035407272187005</v>
      </c>
      <c r="CS24" s="1">
        <f t="shared" si="60"/>
        <v>-1.4011888337414558E-17</v>
      </c>
      <c r="CT24" s="1">
        <f t="shared" si="61"/>
        <v>0.39053548280546585</v>
      </c>
      <c r="CU24" s="1">
        <f t="shared" si="23"/>
        <v>1.0599588654655823</v>
      </c>
      <c r="CV24" s="1">
        <f t="shared" si="24"/>
        <v>1.6220079120987656</v>
      </c>
      <c r="CW24" s="1">
        <f t="shared" si="62"/>
        <v>0.1621011452176897</v>
      </c>
      <c r="CX24" s="97">
        <f t="shared" si="63"/>
        <v>2.0686575476693161</v>
      </c>
      <c r="DF24" s="70">
        <f t="shared" si="25"/>
        <v>-0.82132441100095754</v>
      </c>
      <c r="DG24" s="1">
        <f t="shared" si="26"/>
        <v>-0.57046140263293044</v>
      </c>
      <c r="DH24" s="1">
        <f t="shared" si="27"/>
        <v>-0.2</v>
      </c>
      <c r="DI24" s="1">
        <f t="shared" si="64"/>
        <v>1.1600000000000006</v>
      </c>
      <c r="DJ24" s="1">
        <f t="shared" si="28"/>
        <v>1.3298245272732445E-17</v>
      </c>
      <c r="DK24" s="1">
        <f t="shared" si="29"/>
        <v>1.473549390027447</v>
      </c>
      <c r="DL24" s="1">
        <f t="shared" si="30"/>
        <v>-0.3612949380950593</v>
      </c>
      <c r="DM24" s="1">
        <f t="shared" si="31"/>
        <v>1.473549390027447</v>
      </c>
      <c r="DN24" s="1">
        <f t="shared" si="32"/>
        <v>9.0246349139914111E-18</v>
      </c>
      <c r="DO24" s="1">
        <f t="shared" si="33"/>
        <v>-0.24771242423527073</v>
      </c>
      <c r="DP24" s="1">
        <f t="shared" si="34"/>
        <v>-0.21016615319457344</v>
      </c>
      <c r="DQ24" s="1">
        <f t="shared" si="35"/>
        <v>0.51503807491005427</v>
      </c>
      <c r="DR24" s="1">
        <f t="shared" si="65"/>
        <v>-0.12119475063768384</v>
      </c>
      <c r="DS24" s="97">
        <f t="shared" si="36"/>
        <v>6.9610600386146935</v>
      </c>
      <c r="DT24" s="1"/>
      <c r="DU24" s="1"/>
      <c r="DV24" s="1"/>
    </row>
    <row r="25" spans="1:126" ht="24" customHeight="1" thickTop="1" thickBot="1">
      <c r="A25" s="113" t="s">
        <v>0</v>
      </c>
      <c r="B25" s="114" t="s">
        <v>1</v>
      </c>
      <c r="C25" s="115" t="s">
        <v>2</v>
      </c>
      <c r="D25" s="43"/>
      <c r="E25" s="113" t="s">
        <v>0</v>
      </c>
      <c r="F25" s="114" t="s">
        <v>1</v>
      </c>
      <c r="G25" s="115" t="s">
        <v>2</v>
      </c>
      <c r="J25" s="70">
        <f t="shared" si="37"/>
        <v>0.60911990894602108</v>
      </c>
      <c r="K25" s="1">
        <f t="shared" si="38"/>
        <v>0.16182729077648994</v>
      </c>
      <c r="L25" s="1">
        <f t="shared" si="39"/>
        <v>0.2319739812132848</v>
      </c>
      <c r="M25" s="1">
        <f t="shared" si="0"/>
        <v>-9.4217132321252021E-18</v>
      </c>
      <c r="N25" s="1">
        <f t="shared" si="1"/>
        <v>1.827979220909592</v>
      </c>
      <c r="O25" s="1">
        <f t="shared" si="2"/>
        <v>0.25597492218991375</v>
      </c>
      <c r="P25" s="1">
        <f t="shared" si="40"/>
        <v>1.827979220909592</v>
      </c>
      <c r="Q25" s="1">
        <f t="shared" si="41"/>
        <v>-5.1541686712593004E-18</v>
      </c>
      <c r="R25" s="1">
        <f t="shared" si="42"/>
        <v>0.14049336617289254</v>
      </c>
      <c r="S25" s="1">
        <f t="shared" si="3"/>
        <v>0.3250602229756453</v>
      </c>
      <c r="T25" s="1">
        <f t="shared" si="4"/>
        <v>2.111569345594702</v>
      </c>
      <c r="U25" s="1">
        <f t="shared" si="43"/>
        <v>0.13024908375250988</v>
      </c>
      <c r="V25" s="97">
        <f t="shared" si="66"/>
        <v>0.67727198665112309</v>
      </c>
      <c r="W25" s="1"/>
      <c r="X25" s="1"/>
      <c r="Y25" s="1"/>
      <c r="Z25" s="1"/>
      <c r="AA25" s="1"/>
      <c r="AB25" s="1"/>
      <c r="AC25" s="1"/>
      <c r="AD25" s="70">
        <f t="shared" si="67"/>
        <v>0.57078224432869129</v>
      </c>
      <c r="AE25" s="1">
        <f t="shared" si="68"/>
        <v>0.24968552749483952</v>
      </c>
      <c r="AF25" s="1">
        <f t="shared" si="69"/>
        <v>0.38887421428735269</v>
      </c>
      <c r="AG25" s="1">
        <f t="shared" si="5"/>
        <v>-9.8418854133159949E-18</v>
      </c>
      <c r="AH25" s="1">
        <f t="shared" si="6"/>
        <v>1.735617237794038</v>
      </c>
      <c r="AI25" s="1">
        <f t="shared" si="7"/>
        <v>0.26739041942877623</v>
      </c>
      <c r="AJ25" s="1">
        <f t="shared" si="44"/>
        <v>1.735617237794038</v>
      </c>
      <c r="AK25" s="1">
        <f t="shared" si="45"/>
        <v>-5.6705391021726591E-18</v>
      </c>
      <c r="AL25" s="1">
        <f t="shared" si="46"/>
        <v>0.15467674078542898</v>
      </c>
      <c r="AM25" s="1">
        <f t="shared" si="8"/>
        <v>0.53427305477349141</v>
      </c>
      <c r="AN25" s="1">
        <f t="shared" si="9"/>
        <v>2.0006553779666749</v>
      </c>
      <c r="AO25" s="1">
        <f t="shared" si="47"/>
        <v>0.12054546047961834</v>
      </c>
      <c r="AP25" s="97">
        <f t="shared" si="48"/>
        <v>0.93274552841189673</v>
      </c>
      <c r="AQ25" s="1"/>
      <c r="AR25" s="1"/>
      <c r="AS25" s="1"/>
      <c r="AT25" s="1"/>
      <c r="AU25" s="1"/>
      <c r="AV25" s="1"/>
      <c r="AW25" s="1"/>
      <c r="AX25" s="70">
        <f t="shared" si="70"/>
        <v>0.76837720561425393</v>
      </c>
      <c r="AY25" s="1">
        <f t="shared" si="71"/>
        <v>0.44576815166259887</v>
      </c>
      <c r="AZ25" s="1">
        <f t="shared" si="72"/>
        <v>0.46120723238108452</v>
      </c>
      <c r="BA25" s="1">
        <f t="shared" si="10"/>
        <v>-1.448420012163897E-17</v>
      </c>
      <c r="BB25" s="1">
        <f t="shared" si="11"/>
        <v>1.6591731877598237</v>
      </c>
      <c r="BC25" s="1">
        <f t="shared" si="12"/>
        <v>0.39351569165551581</v>
      </c>
      <c r="BD25" s="1">
        <f t="shared" si="49"/>
        <v>1.6591731877598237</v>
      </c>
      <c r="BE25" s="1">
        <f t="shared" si="50"/>
        <v>-8.7297698808616797E-18</v>
      </c>
      <c r="BF25" s="1">
        <f t="shared" si="51"/>
        <v>0.23945764141934528</v>
      </c>
      <c r="BG25" s="1">
        <f t="shared" si="13"/>
        <v>0.70742953801774278</v>
      </c>
      <c r="BH25" s="1">
        <f t="shared" si="14"/>
        <v>1.8804165610039998</v>
      </c>
      <c r="BI25" s="1">
        <f t="shared" si="52"/>
        <v>0.12963948767496114</v>
      </c>
      <c r="BJ25" s="97">
        <f t="shared" si="53"/>
        <v>1.3376662809236688</v>
      </c>
      <c r="BK25" s="1"/>
      <c r="BL25" s="1"/>
      <c r="BM25" s="1"/>
      <c r="BN25" s="1"/>
      <c r="BO25" s="1"/>
      <c r="BP25" s="1"/>
      <c r="BQ25" s="1"/>
      <c r="BR25" s="70">
        <f t="shared" si="73"/>
        <v>0.85319241583105199</v>
      </c>
      <c r="BS25" s="1">
        <f t="shared" si="74"/>
        <v>0.61830989454647156</v>
      </c>
      <c r="BT25" s="1">
        <f t="shared" si="75"/>
        <v>0.53968406636097155</v>
      </c>
      <c r="BU25" s="1">
        <f t="shared" si="15"/>
        <v>-1.8371469669247432E-17</v>
      </c>
      <c r="BV25" s="1">
        <f t="shared" si="16"/>
        <v>1.5849853228636248</v>
      </c>
      <c r="BW25" s="1">
        <f t="shared" si="17"/>
        <v>0.49912743078035982</v>
      </c>
      <c r="BX25" s="1">
        <f t="shared" si="54"/>
        <v>1.5849853228636248</v>
      </c>
      <c r="BY25" s="1">
        <f t="shared" si="55"/>
        <v>-1.1590939931264051E-17</v>
      </c>
      <c r="BZ25" s="1">
        <f t="shared" si="56"/>
        <v>0.32036163044201527</v>
      </c>
      <c r="CA25" s="1">
        <f t="shared" si="18"/>
        <v>0.87547544582974146</v>
      </c>
      <c r="CB25" s="1">
        <f t="shared" si="19"/>
        <v>1.7550177229903083</v>
      </c>
      <c r="CC25" s="1">
        <f t="shared" si="57"/>
        <v>0.14353927404460931</v>
      </c>
      <c r="CD25" s="97">
        <f t="shared" si="58"/>
        <v>1.7229691666100182</v>
      </c>
      <c r="CE25" s="1"/>
      <c r="CF25" s="1"/>
      <c r="CG25" s="1"/>
      <c r="CH25" s="1"/>
      <c r="CI25" s="1"/>
      <c r="CJ25" s="1"/>
      <c r="CK25" s="1"/>
      <c r="CL25" s="70">
        <f t="shared" si="76"/>
        <v>0.93409072360831757</v>
      </c>
      <c r="CM25" s="1">
        <f t="shared" si="77"/>
        <v>0.80405880049570333</v>
      </c>
      <c r="CN25" s="1">
        <f t="shared" si="78"/>
        <v>0.59454978374010936</v>
      </c>
      <c r="CO25" s="1">
        <f t="shared" si="20"/>
        <v>-2.2951204225092794E-17</v>
      </c>
      <c r="CP25" s="1">
        <f t="shared" si="21"/>
        <v>1.518943995739046</v>
      </c>
      <c r="CQ25" s="1">
        <f t="shared" si="22"/>
        <v>0.62355248678671282</v>
      </c>
      <c r="CR25" s="1">
        <f t="shared" si="59"/>
        <v>1.518943995739046</v>
      </c>
      <c r="CS25" s="1">
        <f t="shared" si="60"/>
        <v>-1.5109973961828544E-17</v>
      </c>
      <c r="CT25" s="1">
        <f t="shared" si="61"/>
        <v>0.42302107880045142</v>
      </c>
      <c r="CU25" s="1">
        <f t="shared" si="23"/>
        <v>1.0250683042478528</v>
      </c>
      <c r="CV25" s="1">
        <f t="shared" si="24"/>
        <v>1.615849653416231</v>
      </c>
      <c r="CW25" s="1">
        <f t="shared" si="62"/>
        <v>0.16825940390022431</v>
      </c>
      <c r="CX25" s="97">
        <f t="shared" si="63"/>
        <v>2.1354486443986485</v>
      </c>
      <c r="DF25" s="70">
        <f t="shared" si="25"/>
        <v>-0.82600051661644991</v>
      </c>
      <c r="DG25" s="1">
        <f t="shared" si="26"/>
        <v>-0.56366935924295014</v>
      </c>
      <c r="DH25" s="1">
        <f t="shared" si="27"/>
        <v>-0.2</v>
      </c>
      <c r="DI25" s="1">
        <f t="shared" si="64"/>
        <v>1.2200000000000006</v>
      </c>
      <c r="DJ25" s="1">
        <f t="shared" si="28"/>
        <v>1.4098259235432716E-17</v>
      </c>
      <c r="DK25" s="1">
        <f t="shared" si="29"/>
        <v>1.445542408952766</v>
      </c>
      <c r="DL25" s="1">
        <f t="shared" si="30"/>
        <v>-0.38303021137368087</v>
      </c>
      <c r="DM25" s="1">
        <f t="shared" si="31"/>
        <v>1.445542408952766</v>
      </c>
      <c r="DN25" s="1">
        <f t="shared" si="32"/>
        <v>9.7529198369533172E-18</v>
      </c>
      <c r="DO25" s="1">
        <f t="shared" si="33"/>
        <v>-0.26817628195563381</v>
      </c>
      <c r="DP25" s="1">
        <f t="shared" si="34"/>
        <v>-0.22712648922447878</v>
      </c>
      <c r="DQ25" s="1">
        <f t="shared" si="35"/>
        <v>0.51503807491005427</v>
      </c>
      <c r="DR25" s="1">
        <f t="shared" si="65"/>
        <v>-0.10270458423357284</v>
      </c>
      <c r="DS25" s="97">
        <f t="shared" si="36"/>
        <v>5.8949338767118764</v>
      </c>
      <c r="DT25" s="1"/>
      <c r="DU25" s="1"/>
      <c r="DV25" s="1"/>
    </row>
    <row r="26" spans="1:126" ht="24" customHeight="1" thickTop="1">
      <c r="A26" s="116" t="s">
        <v>69</v>
      </c>
      <c r="B26" s="117"/>
      <c r="C26" s="118">
        <f>COS($G$5)*SIN($DO$2)</f>
        <v>0.42058120499216611</v>
      </c>
      <c r="D26" s="43"/>
      <c r="E26" s="116" t="s">
        <v>65</v>
      </c>
      <c r="F26" s="162" t="s">
        <v>42</v>
      </c>
      <c r="G26" s="152">
        <f>G8*C22/2</f>
        <v>1.25</v>
      </c>
      <c r="J26" s="70">
        <f t="shared" si="37"/>
        <v>0.69115038378975457</v>
      </c>
      <c r="K26" s="1">
        <f t="shared" si="38"/>
        <v>0.1802907302569132</v>
      </c>
      <c r="L26" s="1">
        <f t="shared" si="39"/>
        <v>0.21793405558431889</v>
      </c>
      <c r="M26" s="1">
        <f t="shared" si="0"/>
        <v>-1.0136857705207511E-17</v>
      </c>
      <c r="N26" s="1">
        <f t="shared" si="1"/>
        <v>1.8305139845179448</v>
      </c>
      <c r="O26" s="1">
        <f t="shared" si="2"/>
        <v>0.27540440877496652</v>
      </c>
      <c r="P26" s="1">
        <f t="shared" si="40"/>
        <v>1.8305139845179448</v>
      </c>
      <c r="Q26" s="1">
        <f t="shared" si="41"/>
        <v>-5.5377111515905701E-18</v>
      </c>
      <c r="R26" s="1">
        <f t="shared" si="42"/>
        <v>0.15102541621624954</v>
      </c>
      <c r="S26" s="1">
        <f t="shared" si="3"/>
        <v>0.3193186282788516</v>
      </c>
      <c r="T26" s="1">
        <f t="shared" si="4"/>
        <v>2.1112305981430941</v>
      </c>
      <c r="U26" s="1">
        <f t="shared" si="43"/>
        <v>0.13058783120411777</v>
      </c>
      <c r="V26" s="97">
        <f t="shared" si="66"/>
        <v>0.7004737086615056</v>
      </c>
      <c r="W26" s="1"/>
      <c r="X26" s="1"/>
      <c r="Y26" s="1"/>
      <c r="Z26" s="1"/>
      <c r="AA26" s="1"/>
      <c r="AB26" s="1"/>
      <c r="AC26" s="1"/>
      <c r="AD26" s="70">
        <f t="shared" si="67"/>
        <v>0.63068535567164818</v>
      </c>
      <c r="AE26" s="1">
        <f t="shared" si="68"/>
        <v>0.27251852391509435</v>
      </c>
      <c r="AF26" s="1">
        <f t="shared" si="69"/>
        <v>0.37322871178557565</v>
      </c>
      <c r="AG26" s="1">
        <f t="shared" si="5"/>
        <v>-1.0703380733601196E-17</v>
      </c>
      <c r="AH26" s="1">
        <f t="shared" si="6"/>
        <v>1.7379503600117423</v>
      </c>
      <c r="AI26" s="1">
        <f t="shared" si="7"/>
        <v>0.29079605618972842</v>
      </c>
      <c r="AJ26" s="1">
        <f t="shared" si="44"/>
        <v>1.7379503600117423</v>
      </c>
      <c r="AK26" s="1">
        <f t="shared" si="45"/>
        <v>-6.1586228121779493E-18</v>
      </c>
      <c r="AL26" s="1">
        <f t="shared" si="46"/>
        <v>0.16811200241276944</v>
      </c>
      <c r="AM26" s="1">
        <f t="shared" si="8"/>
        <v>0.52898820607675323</v>
      </c>
      <c r="AN26" s="1">
        <f t="shared" si="9"/>
        <v>1.9989673834030621</v>
      </c>
      <c r="AO26" s="1">
        <f t="shared" si="47"/>
        <v>0.12223345504323113</v>
      </c>
      <c r="AP26" s="97">
        <f t="shared" si="48"/>
        <v>0.960428675121069</v>
      </c>
      <c r="AQ26" s="1"/>
      <c r="AR26" s="1"/>
      <c r="AS26" s="1"/>
      <c r="AT26" s="1"/>
      <c r="AU26" s="1"/>
      <c r="AV26" s="1"/>
      <c r="AW26" s="1"/>
      <c r="AX26" s="70">
        <f t="shared" si="70"/>
        <v>0.83222849994179648</v>
      </c>
      <c r="AY26" s="1">
        <f t="shared" si="71"/>
        <v>0.47428843719610941</v>
      </c>
      <c r="AZ26" s="1">
        <f t="shared" si="72"/>
        <v>0.43182384670069068</v>
      </c>
      <c r="BA26" s="1">
        <f t="shared" si="10"/>
        <v>-1.5691492331020831E-17</v>
      </c>
      <c r="BB26" s="1">
        <f t="shared" si="11"/>
        <v>1.6666809996292047</v>
      </c>
      <c r="BC26" s="1">
        <f t="shared" si="12"/>
        <v>0.42631615179935567</v>
      </c>
      <c r="BD26" s="1">
        <f t="shared" si="49"/>
        <v>1.6666809996292047</v>
      </c>
      <c r="BE26" s="1">
        <f t="shared" si="50"/>
        <v>-9.4148144333029537E-18</v>
      </c>
      <c r="BF26" s="1">
        <f t="shared" si="51"/>
        <v>0.25866220584306937</v>
      </c>
      <c r="BG26" s="1">
        <f t="shared" si="13"/>
        <v>0.69042329227880561</v>
      </c>
      <c r="BH26" s="1">
        <f t="shared" si="14"/>
        <v>1.879721238041087</v>
      </c>
      <c r="BI26" s="1">
        <f t="shared" si="52"/>
        <v>0.13033481063787389</v>
      </c>
      <c r="BJ26" s="97">
        <f t="shared" si="53"/>
        <v>1.3786218647287487</v>
      </c>
      <c r="BK26" s="1"/>
      <c r="BL26" s="1"/>
      <c r="BM26" s="1"/>
      <c r="BN26" s="1"/>
      <c r="BO26" s="1"/>
      <c r="BP26" s="1"/>
      <c r="BQ26" s="1"/>
      <c r="BR26" s="70">
        <f t="shared" si="73"/>
        <v>0.91786079428623379</v>
      </c>
      <c r="BS26" s="1">
        <f t="shared" si="74"/>
        <v>0.65189363221726038</v>
      </c>
      <c r="BT26" s="1">
        <f t="shared" si="75"/>
        <v>0.49859874593962777</v>
      </c>
      <c r="BU26" s="1">
        <f t="shared" si="15"/>
        <v>-1.9879574367277759E-17</v>
      </c>
      <c r="BV26" s="1">
        <f t="shared" si="16"/>
        <v>1.5968532653895666</v>
      </c>
      <c r="BW26" s="1">
        <f t="shared" si="17"/>
        <v>0.54010055034170312</v>
      </c>
      <c r="BX26" s="1">
        <f t="shared" si="54"/>
        <v>1.5968532653895666</v>
      </c>
      <c r="BY26" s="1">
        <f t="shared" si="55"/>
        <v>-1.2449217970210907E-17</v>
      </c>
      <c r="BZ26" s="1">
        <f t="shared" si="56"/>
        <v>0.34503332684811094</v>
      </c>
      <c r="CA26" s="1">
        <f t="shared" si="18"/>
        <v>0.84859289329338039</v>
      </c>
      <c r="CB26" s="1">
        <f t="shared" si="19"/>
        <v>1.7531483168190118</v>
      </c>
      <c r="CC26" s="1">
        <f t="shared" si="57"/>
        <v>0.14540868021590581</v>
      </c>
      <c r="CD26" s="97">
        <f t="shared" si="58"/>
        <v>1.7760431953448044</v>
      </c>
      <c r="CE26" s="1"/>
      <c r="CF26" s="1"/>
      <c r="CG26" s="1"/>
      <c r="CH26" s="1"/>
      <c r="CI26" s="1"/>
      <c r="CJ26" s="1"/>
      <c r="CK26" s="1"/>
      <c r="CL26" s="70">
        <f t="shared" si="76"/>
        <v>1.0008818203376499</v>
      </c>
      <c r="CM26" s="1">
        <f t="shared" si="77"/>
        <v>0.84194710714105359</v>
      </c>
      <c r="CN26" s="1">
        <f t="shared" si="78"/>
        <v>0.5395600696649181</v>
      </c>
      <c r="CO26" s="1">
        <f t="shared" si="20"/>
        <v>-2.4767788595168727E-17</v>
      </c>
      <c r="CP26" s="1">
        <f t="shared" si="21"/>
        <v>1.5363653212608337</v>
      </c>
      <c r="CQ26" s="1">
        <f t="shared" si="22"/>
        <v>0.67290657253792108</v>
      </c>
      <c r="CR26" s="1">
        <f t="shared" si="59"/>
        <v>1.5363653212608337</v>
      </c>
      <c r="CS26" s="1">
        <f t="shared" si="60"/>
        <v>-1.6121028151587534E-17</v>
      </c>
      <c r="CT26" s="1">
        <f t="shared" si="61"/>
        <v>0.45335718657373658</v>
      </c>
      <c r="CU26" s="1">
        <f t="shared" si="23"/>
        <v>0.98560656118929035</v>
      </c>
      <c r="CV26" s="1">
        <f t="shared" si="24"/>
        <v>1.6113125351663982</v>
      </c>
      <c r="CW26" s="1">
        <f t="shared" si="62"/>
        <v>0.17279652215005714</v>
      </c>
      <c r="CX26" s="97">
        <f t="shared" si="63"/>
        <v>2.2022397411279808</v>
      </c>
      <c r="DF26" s="70">
        <f t="shared" si="25"/>
        <v>-0.83020051108035564</v>
      </c>
      <c r="DG26" s="1">
        <f t="shared" si="26"/>
        <v>-0.55746489701318058</v>
      </c>
      <c r="DH26" s="1">
        <f t="shared" si="27"/>
        <v>-0.2</v>
      </c>
      <c r="DI26" s="1">
        <f t="shared" si="64"/>
        <v>1.2800000000000007</v>
      </c>
      <c r="DJ26" s="1">
        <f t="shared" si="28"/>
        <v>1.4898273198132989E-17</v>
      </c>
      <c r="DK26" s="1">
        <f t="shared" si="29"/>
        <v>1.4175354278780854</v>
      </c>
      <c r="DL26" s="1">
        <f t="shared" si="30"/>
        <v>-0.40476548465230255</v>
      </c>
      <c r="DM26" s="1">
        <f t="shared" si="31"/>
        <v>1.4175354278780854</v>
      </c>
      <c r="DN26" s="1">
        <f t="shared" si="32"/>
        <v>1.0509982964188962E-17</v>
      </c>
      <c r="DO26" s="1">
        <f t="shared" si="33"/>
        <v>-0.28957161980724827</v>
      </c>
      <c r="DP26" s="1">
        <f t="shared" si="34"/>
        <v>-0.24475701352745016</v>
      </c>
      <c r="DQ26" s="1">
        <f t="shared" si="35"/>
        <v>0.51503807491005427</v>
      </c>
      <c r="DR26" s="1">
        <f t="shared" si="65"/>
        <v>-8.3918249666609546E-2</v>
      </c>
      <c r="DS26" s="97">
        <f t="shared" si="36"/>
        <v>4.813822886792507</v>
      </c>
      <c r="DT26" s="1"/>
      <c r="DU26" s="1"/>
      <c r="DV26" s="1"/>
    </row>
    <row r="27" spans="1:126" ht="24" customHeight="1" thickBot="1">
      <c r="A27" s="86" t="s">
        <v>39</v>
      </c>
      <c r="B27" s="87"/>
      <c r="C27" s="119">
        <f>SIN(2*$G$5)*SIN($DO$2)/2</f>
        <v>0.36050845620917676</v>
      </c>
      <c r="D27" s="43"/>
      <c r="E27" s="86" t="s">
        <v>52</v>
      </c>
      <c r="F27" s="163" t="s">
        <v>42</v>
      </c>
      <c r="G27" s="153">
        <f>G9*C22/2</f>
        <v>11.5</v>
      </c>
      <c r="J27" s="70">
        <f t="shared" si="37"/>
        <v>0.77318085863348807</v>
      </c>
      <c r="K27" s="1">
        <f>$J$2*SIN(J27)</f>
        <v>0.19754167376504103</v>
      </c>
      <c r="L27" s="1">
        <f>$J$2*COS(J27)</f>
        <v>0.20242847409913986</v>
      </c>
      <c r="M27" s="1">
        <f t="shared" si="0"/>
        <v>-1.0836874578967231E-17</v>
      </c>
      <c r="N27" s="1">
        <f t="shared" si="1"/>
        <v>1.8339968087147296</v>
      </c>
      <c r="O27" s="1">
        <f t="shared" si="2"/>
        <v>0.29442289940162858</v>
      </c>
      <c r="P27" s="1">
        <f t="shared" si="40"/>
        <v>1.8339968087147296</v>
      </c>
      <c r="Q27" s="1">
        <f t="shared" si="41"/>
        <v>-5.9088840980927038E-18</v>
      </c>
      <c r="R27" s="1">
        <f t="shared" si="42"/>
        <v>0.16123388646194536</v>
      </c>
      <c r="S27" s="1">
        <f t="shared" si="3"/>
        <v>0.31142954352466418</v>
      </c>
      <c r="T27" s="1">
        <f t="shared" si="4"/>
        <v>2.1118511863050502</v>
      </c>
      <c r="U27" s="1">
        <f t="shared" si="43"/>
        <v>0.12996724304216167</v>
      </c>
      <c r="V27" s="97">
        <f t="shared" si="66"/>
        <v>0.72367543067188811</v>
      </c>
      <c r="W27" s="1"/>
      <c r="X27" s="1"/>
      <c r="Y27" s="1"/>
      <c r="Z27" s="1"/>
      <c r="AA27" s="1"/>
      <c r="AB27" s="1"/>
      <c r="AD27" s="70">
        <f t="shared" si="67"/>
        <v>0.69058846701460508</v>
      </c>
      <c r="AE27" s="1">
        <f t="shared" si="68"/>
        <v>0.29437391195401313</v>
      </c>
      <c r="AF27" s="1">
        <f t="shared" si="69"/>
        <v>0.35624432225492814</v>
      </c>
      <c r="AG27" s="1">
        <f t="shared" si="5"/>
        <v>-1.1554774532111121E-17</v>
      </c>
      <c r="AH27" s="1">
        <f t="shared" si="6"/>
        <v>1.7411212425929841</v>
      </c>
      <c r="AI27" s="1">
        <f t="shared" si="7"/>
        <v>0.31392724857026683</v>
      </c>
      <c r="AJ27" s="1">
        <f t="shared" si="44"/>
        <v>1.7411212425929841</v>
      </c>
      <c r="AK27" s="1">
        <f t="shared" si="45"/>
        <v>-6.6363985743480137E-18</v>
      </c>
      <c r="AL27" s="1">
        <f t="shared" si="46"/>
        <v>0.18129324457185075</v>
      </c>
      <c r="AM27" s="1">
        <f t="shared" si="8"/>
        <v>0.52180571278522148</v>
      </c>
      <c r="AN27" s="1">
        <f t="shared" si="9"/>
        <v>1.9979607236991566</v>
      </c>
      <c r="AO27" s="1">
        <f t="shared" si="47"/>
        <v>0.1232401147471367</v>
      </c>
      <c r="AP27" s="97">
        <f t="shared" si="48"/>
        <v>0.98811182183024171</v>
      </c>
      <c r="AQ27" s="1"/>
      <c r="AR27" s="1"/>
      <c r="AS27" s="1"/>
      <c r="AT27" s="1"/>
      <c r="AU27" s="1"/>
      <c r="AV27" s="1"/>
      <c r="AW27" s="1"/>
      <c r="AX27" s="70">
        <f t="shared" si="70"/>
        <v>0.89607979426933904</v>
      </c>
      <c r="AY27" s="1">
        <f t="shared" si="71"/>
        <v>0.50087571143602971</v>
      </c>
      <c r="AZ27" s="1">
        <f t="shared" si="72"/>
        <v>0.40068051853161074</v>
      </c>
      <c r="BA27" s="1">
        <f t="shared" si="10"/>
        <v>-1.6866978470517886E-17</v>
      </c>
      <c r="BB27" s="1">
        <f t="shared" si="11"/>
        <v>1.6754310706936875</v>
      </c>
      <c r="BC27" s="1">
        <f t="shared" si="12"/>
        <v>0.45825248499904597</v>
      </c>
      <c r="BD27" s="1">
        <f t="shared" si="49"/>
        <v>1.6754310706936875</v>
      </c>
      <c r="BE27" s="1">
        <f t="shared" si="50"/>
        <v>-1.0067247030063948E-17</v>
      </c>
      <c r="BF27" s="1">
        <f t="shared" si="51"/>
        <v>0.27704360237426495</v>
      </c>
      <c r="BG27" s="1">
        <f t="shared" si="13"/>
        <v>0.67060315542073767</v>
      </c>
      <c r="BH27" s="1">
        <f t="shared" si="14"/>
        <v>1.880081003957174</v>
      </c>
      <c r="BI27" s="1">
        <f t="shared" si="52"/>
        <v>0.12997504472178689</v>
      </c>
      <c r="BJ27" s="97">
        <f t="shared" si="53"/>
        <v>1.4195774485338286</v>
      </c>
      <c r="BR27" s="70">
        <f t="shared" si="73"/>
        <v>0.9825291727414156</v>
      </c>
      <c r="BS27" s="1">
        <f t="shared" si="74"/>
        <v>0.68275210121244223</v>
      </c>
      <c r="BT27" s="1">
        <f t="shared" si="75"/>
        <v>0.45542901254528934</v>
      </c>
      <c r="BU27" s="1">
        <f t="shared" si="15"/>
        <v>-2.1337545596163877E-17</v>
      </c>
      <c r="BV27" s="1">
        <f t="shared" si="16"/>
        <v>1.6102873707262175</v>
      </c>
      <c r="BW27" s="1">
        <f t="shared" si="17"/>
        <v>0.57971161286022088</v>
      </c>
      <c r="BX27" s="1">
        <f t="shared" si="54"/>
        <v>1.6102873707262175</v>
      </c>
      <c r="BY27" s="1">
        <f t="shared" si="55"/>
        <v>-1.3250768765913463E-17</v>
      </c>
      <c r="BZ27" s="1">
        <f t="shared" si="56"/>
        <v>0.36827332463652468</v>
      </c>
      <c r="CA27" s="1">
        <f t="shared" si="18"/>
        <v>0.81816276256919551</v>
      </c>
      <c r="CB27" s="1">
        <f t="shared" si="19"/>
        <v>1.7526545419488024</v>
      </c>
      <c r="CC27" s="1">
        <f t="shared" si="57"/>
        <v>0.14590245508611521</v>
      </c>
      <c r="CD27" s="97">
        <f t="shared" si="58"/>
        <v>1.8291172240795903</v>
      </c>
      <c r="CL27" s="70">
        <f t="shared" si="76"/>
        <v>1.0676729170669823</v>
      </c>
      <c r="CM27" s="1">
        <f t="shared" si="77"/>
        <v>0.87608084122655017</v>
      </c>
      <c r="CN27" s="1">
        <f t="shared" si="78"/>
        <v>0.4821642454970923</v>
      </c>
      <c r="CO27" s="1">
        <f t="shared" si="20"/>
        <v>-2.6509097028174713E-17</v>
      </c>
      <c r="CP27" s="1">
        <f t="shared" si="21"/>
        <v>1.5557270152568317</v>
      </c>
      <c r="CQ27" s="1">
        <f t="shared" si="22"/>
        <v>0.72021551515438043</v>
      </c>
      <c r="CR27" s="1">
        <f t="shared" si="59"/>
        <v>1.5557270152568317</v>
      </c>
      <c r="CS27" s="1">
        <f t="shared" si="60"/>
        <v>-1.7039684191508612E-17</v>
      </c>
      <c r="CT27" s="1">
        <f t="shared" si="61"/>
        <v>0.48131442055685469</v>
      </c>
      <c r="CU27" s="1">
        <f t="shared" si="23"/>
        <v>0.94174961168834403</v>
      </c>
      <c r="CV27" s="1">
        <f t="shared" si="24"/>
        <v>1.6087600262604416</v>
      </c>
      <c r="CW27" s="1">
        <f t="shared" si="62"/>
        <v>0.17534903105601374</v>
      </c>
      <c r="CX27" s="97">
        <f t="shared" si="63"/>
        <v>2.2690308378573132</v>
      </c>
      <c r="DF27" s="70">
        <f t="shared" si="25"/>
        <v>-0.83399231144125296</v>
      </c>
      <c r="DG27" s="1">
        <f t="shared" si="26"/>
        <v>-0.5517760636860537</v>
      </c>
      <c r="DH27" s="1">
        <f t="shared" si="27"/>
        <v>-0.2</v>
      </c>
      <c r="DI27" s="1">
        <f t="shared" si="64"/>
        <v>1.3400000000000007</v>
      </c>
      <c r="DJ27" s="1">
        <f t="shared" si="28"/>
        <v>1.5698287160833264E-17</v>
      </c>
      <c r="DK27" s="1">
        <f t="shared" si="29"/>
        <v>1.3895284468034044</v>
      </c>
      <c r="DL27" s="1">
        <f t="shared" si="30"/>
        <v>-0.42650075793092423</v>
      </c>
      <c r="DM27" s="1">
        <f t="shared" si="31"/>
        <v>1.3895284468034044</v>
      </c>
      <c r="DN27" s="1">
        <f t="shared" si="32"/>
        <v>1.1297564434140955E-17</v>
      </c>
      <c r="DO27" s="1">
        <f t="shared" si="33"/>
        <v>-0.31197532232038283</v>
      </c>
      <c r="DP27" s="1">
        <f t="shared" si="34"/>
        <v>-0.26309825053533387</v>
      </c>
      <c r="DQ27" s="1">
        <f t="shared" si="35"/>
        <v>0.51503807491005427</v>
      </c>
      <c r="DR27" s="1">
        <f t="shared" si="65"/>
        <v>-6.4763763522199647E-2</v>
      </c>
      <c r="DS27" s="97">
        <f t="shared" si="36"/>
        <v>3.7132892094319718</v>
      </c>
      <c r="DT27" s="1"/>
      <c r="DU27" s="1"/>
      <c r="DV27" s="1"/>
    </row>
    <row r="28" spans="1:126" ht="24" customHeight="1" thickTop="1" thickBot="1">
      <c r="A28" s="186" t="s">
        <v>82</v>
      </c>
      <c r="B28" s="186"/>
      <c r="C28" s="186"/>
      <c r="E28" s="186" t="s">
        <v>83</v>
      </c>
      <c r="F28" s="186"/>
      <c r="G28" s="186"/>
      <c r="J28" s="71">
        <f t="shared" si="37"/>
        <v>0.85521133347722156</v>
      </c>
      <c r="K28" s="72">
        <f t="shared" si="38"/>
        <v>0.21346410480078995</v>
      </c>
      <c r="L28" s="72">
        <f>$J$2*COS(J28)</f>
        <v>0.18556151530313983</v>
      </c>
      <c r="M28" s="72">
        <f t="shared" si="0"/>
        <v>-1.1517056081469766E-17</v>
      </c>
      <c r="N28" s="72">
        <f t="shared" si="1"/>
        <v>1.8384042707188377</v>
      </c>
      <c r="O28" s="72">
        <f t="shared" si="2"/>
        <v>0.31290249041533552</v>
      </c>
      <c r="P28" s="72">
        <f t="shared" si="40"/>
        <v>1.8384042707188377</v>
      </c>
      <c r="Q28" s="72">
        <f t="shared" si="41"/>
        <v>-6.2647026363610769E-18</v>
      </c>
      <c r="R28" s="72">
        <f t="shared" si="42"/>
        <v>0.17103598501081319</v>
      </c>
      <c r="S28" s="72">
        <f t="shared" si="3"/>
        <v>0.30144602459385894</v>
      </c>
      <c r="T28" s="72">
        <f t="shared" si="4"/>
        <v>2.1134497933819354</v>
      </c>
      <c r="U28" s="72">
        <f t="shared" si="43"/>
        <v>0.12836863596527648</v>
      </c>
      <c r="V28" s="120">
        <f t="shared" si="66"/>
        <v>0.74687715268227073</v>
      </c>
      <c r="W28" s="1"/>
      <c r="X28" s="1"/>
      <c r="Y28" s="1"/>
      <c r="Z28" s="1"/>
      <c r="AA28" s="1"/>
      <c r="AB28" s="1"/>
      <c r="AD28" s="71">
        <f t="shared" si="67"/>
        <v>0.75049157835756197</v>
      </c>
      <c r="AE28" s="72">
        <f t="shared" si="68"/>
        <v>0.31517328956311397</v>
      </c>
      <c r="AF28" s="72">
        <f t="shared" si="69"/>
        <v>0.33798197396303209</v>
      </c>
      <c r="AG28" s="72">
        <f t="shared" si="5"/>
        <v>-1.2393012595498051E-17</v>
      </c>
      <c r="AH28" s="72">
        <f t="shared" si="6"/>
        <v>1.7451185105994904</v>
      </c>
      <c r="AI28" s="72">
        <f t="shared" si="7"/>
        <v>0.33670101781644618</v>
      </c>
      <c r="AJ28" s="72">
        <f t="shared" si="44"/>
        <v>1.7451185105994904</v>
      </c>
      <c r="AK28" s="72">
        <f t="shared" si="45"/>
        <v>-7.101530652632153E-18</v>
      </c>
      <c r="AL28" s="72">
        <f t="shared" si="46"/>
        <v>0.19415631343150419</v>
      </c>
      <c r="AM28" s="72">
        <f t="shared" si="8"/>
        <v>0.5127513407277281</v>
      </c>
      <c r="AN28" s="72">
        <f t="shared" si="9"/>
        <v>1.9976603470820962</v>
      </c>
      <c r="AO28" s="72">
        <f t="shared" si="47"/>
        <v>0.12354049136419709</v>
      </c>
      <c r="AP28" s="120">
        <f t="shared" si="48"/>
        <v>1.0157949685394141</v>
      </c>
      <c r="AQ28" s="1"/>
      <c r="AR28" s="1"/>
      <c r="AS28" s="1"/>
      <c r="AT28" s="1"/>
      <c r="AU28" s="1"/>
      <c r="AV28" s="1"/>
      <c r="AW28" s="1"/>
      <c r="AX28" s="71">
        <f t="shared" si="70"/>
        <v>0.95993108859688159</v>
      </c>
      <c r="AY28" s="72">
        <f t="shared" si="71"/>
        <v>0.52542161521240982</v>
      </c>
      <c r="AZ28" s="72">
        <f t="shared" si="72"/>
        <v>0.36790417571005063</v>
      </c>
      <c r="BA28" s="72">
        <f t="shared" si="10"/>
        <v>-1.8005867725501523E-17</v>
      </c>
      <c r="BB28" s="72">
        <f t="shared" si="11"/>
        <v>1.6853877391389394</v>
      </c>
      <c r="BC28" s="72">
        <f t="shared" si="12"/>
        <v>0.48919453144483938</v>
      </c>
      <c r="BD28" s="72">
        <f t="shared" si="49"/>
        <v>1.6853877391389394</v>
      </c>
      <c r="BE28" s="72">
        <f t="shared" si="50"/>
        <v>-1.0683516503271039E-17</v>
      </c>
      <c r="BF28" s="72">
        <f t="shared" si="51"/>
        <v>0.29449473303309354</v>
      </c>
      <c r="BG28" s="72">
        <f t="shared" si="13"/>
        <v>0.64804990644927141</v>
      </c>
      <c r="BH28" s="72">
        <f t="shared" si="14"/>
        <v>1.8815813177062568</v>
      </c>
      <c r="BI28" s="72">
        <f t="shared" si="52"/>
        <v>0.12847473097270412</v>
      </c>
      <c r="BJ28" s="120">
        <f t="shared" si="53"/>
        <v>1.4605330323389085</v>
      </c>
      <c r="BR28" s="71">
        <f t="shared" si="73"/>
        <v>1.0471975511965974</v>
      </c>
      <c r="BS28" s="72">
        <f t="shared" si="74"/>
        <v>0.71075629640790838</v>
      </c>
      <c r="BT28" s="72">
        <f t="shared" si="75"/>
        <v>0.4103553390593277</v>
      </c>
      <c r="BU28" s="72">
        <f t="shared" si="15"/>
        <v>-2.2739288246023342E-17</v>
      </c>
      <c r="BV28" s="72">
        <f t="shared" si="16"/>
        <v>1.6252314770326735</v>
      </c>
      <c r="BW28" s="72">
        <f t="shared" si="17"/>
        <v>0.61779502262741925</v>
      </c>
      <c r="BX28" s="72">
        <f t="shared" si="54"/>
        <v>1.6252314770326735</v>
      </c>
      <c r="BY28" s="72">
        <f t="shared" si="55"/>
        <v>-1.399141511062808E-17</v>
      </c>
      <c r="BZ28" s="72">
        <f t="shared" si="56"/>
        <v>0.38993403668012927</v>
      </c>
      <c r="CA28" s="72">
        <f t="shared" si="18"/>
        <v>0.78431226809518506</v>
      </c>
      <c r="CB28" s="72">
        <f t="shared" si="19"/>
        <v>1.7537207396065593</v>
      </c>
      <c r="CC28" s="72">
        <f t="shared" si="57"/>
        <v>0.14483625742835837</v>
      </c>
      <c r="CD28" s="120">
        <f t="shared" si="58"/>
        <v>1.8821912528143765</v>
      </c>
      <c r="CL28" s="71">
        <f t="shared" si="76"/>
        <v>1.1344640137963147</v>
      </c>
      <c r="CM28" s="72">
        <f t="shared" si="77"/>
        <v>0.90630778703665016</v>
      </c>
      <c r="CN28" s="72">
        <f t="shared" si="78"/>
        <v>0.42261826174069905</v>
      </c>
      <c r="CO28" s="72">
        <f t="shared" si="20"/>
        <v>-2.8167364346458437E-17</v>
      </c>
      <c r="CP28" s="72">
        <f t="shared" si="21"/>
        <v>1.576942736335315</v>
      </c>
      <c r="CQ28" s="72">
        <f t="shared" si="22"/>
        <v>0.7652683454953022</v>
      </c>
      <c r="CR28" s="72">
        <f t="shared" si="59"/>
        <v>1.576942736335315</v>
      </c>
      <c r="CS28" s="72">
        <f t="shared" si="60"/>
        <v>-1.7862008364309455E-17</v>
      </c>
      <c r="CT28" s="72">
        <f t="shared" si="61"/>
        <v>0.50669031785528529</v>
      </c>
      <c r="CU28" s="72">
        <f t="shared" si="23"/>
        <v>0.89369303109381926</v>
      </c>
      <c r="CV28" s="72">
        <f t="shared" si="24"/>
        <v>1.608563990901501</v>
      </c>
      <c r="CW28" s="72">
        <f t="shared" si="62"/>
        <v>0.17554506641495426</v>
      </c>
      <c r="CX28" s="120">
        <f t="shared" si="63"/>
        <v>2.3358219345866456</v>
      </c>
      <c r="DF28" s="71">
        <f t="shared" si="25"/>
        <v>-0.83743168713208005</v>
      </c>
      <c r="DG28" s="72">
        <f t="shared" si="26"/>
        <v>-0.54654201063332541</v>
      </c>
      <c r="DH28" s="72">
        <f t="shared" si="27"/>
        <v>-0.2</v>
      </c>
      <c r="DI28" s="72">
        <f t="shared" si="64"/>
        <v>1.4000000000000008</v>
      </c>
      <c r="DJ28" s="72">
        <f t="shared" si="28"/>
        <v>1.6498301123533537E-17</v>
      </c>
      <c r="DK28" s="72">
        <f t="shared" si="29"/>
        <v>1.3615214657287233</v>
      </c>
      <c r="DL28" s="72">
        <f t="shared" si="30"/>
        <v>-0.44823603120954592</v>
      </c>
      <c r="DM28" s="72">
        <f t="shared" si="31"/>
        <v>1.3615214657287233</v>
      </c>
      <c r="DN28" s="72">
        <f t="shared" si="32"/>
        <v>1.2117547566320004E-17</v>
      </c>
      <c r="DO28" s="72">
        <f t="shared" si="33"/>
        <v>-0.33547424402014797</v>
      </c>
      <c r="DP28" s="72">
        <f t="shared" si="34"/>
        <v>-0.28219405908791373</v>
      </c>
      <c r="DQ28" s="72">
        <f t="shared" si="35"/>
        <v>0.51503807491005427</v>
      </c>
      <c r="DR28" s="72">
        <f t="shared" si="65"/>
        <v>-4.5171698013416861E-2</v>
      </c>
      <c r="DS28" s="120">
        <f t="shared" si="36"/>
        <v>2.5890286370313196</v>
      </c>
      <c r="DT28" s="1"/>
      <c r="DU28" s="1"/>
      <c r="DV28" s="1"/>
    </row>
    <row r="29" spans="1:126" ht="24" customHeight="1" thickTop="1">
      <c r="A29" s="26"/>
      <c r="B29" s="26"/>
      <c r="C29" s="26"/>
      <c r="E29" s="26"/>
      <c r="F29" s="26"/>
      <c r="G29" s="2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</row>
    <row r="30" spans="1:126" ht="24" customHeight="1" thickBot="1">
      <c r="A30" s="26"/>
      <c r="B30" s="26"/>
      <c r="C30" s="26"/>
      <c r="E30" s="26"/>
      <c r="F30" s="26"/>
      <c r="G30" s="2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</row>
    <row r="31" spans="1:126" ht="24" customHeight="1" thickTop="1" thickBot="1">
      <c r="A31" s="170"/>
      <c r="B31" s="171" t="s">
        <v>74</v>
      </c>
      <c r="C31" s="172" t="s">
        <v>73</v>
      </c>
      <c r="E31" s="170"/>
      <c r="F31" s="171" t="s">
        <v>74</v>
      </c>
      <c r="G31" s="172" t="s">
        <v>73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</row>
    <row r="32" spans="1:126" ht="24" customHeight="1" thickTop="1">
      <c r="A32" s="167" t="s">
        <v>70</v>
      </c>
      <c r="B32" s="168">
        <f>$G$5-PI()/5</f>
        <v>0.40142572795869591</v>
      </c>
      <c r="C32" s="169">
        <f>$G$5-PI()</f>
        <v>-2.1118483949131388</v>
      </c>
      <c r="E32" s="173" t="s">
        <v>70</v>
      </c>
      <c r="F32" s="175">
        <f>B32*$G$22</f>
        <v>23.000000000000007</v>
      </c>
      <c r="G32" s="176">
        <f>C32*$G$22</f>
        <v>-121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</row>
    <row r="33" spans="1:126" ht="24" customHeight="1" thickBot="1">
      <c r="A33" s="164" t="s">
        <v>71</v>
      </c>
      <c r="B33" s="165">
        <f>$G$5</f>
        <v>1.0297442586766545</v>
      </c>
      <c r="C33" s="166">
        <f>$G$5-4*PI()/5</f>
        <v>-1.48352986419518</v>
      </c>
      <c r="E33" s="174" t="s">
        <v>71</v>
      </c>
      <c r="F33" s="177">
        <f>B33*$G$22</f>
        <v>59.000000000000007</v>
      </c>
      <c r="G33" s="178">
        <f>C33*$G$22</f>
        <v>-84.999999999999986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</row>
    <row r="34" spans="1:126" ht="24" customHeight="1" thickTop="1">
      <c r="A34" s="182" t="s">
        <v>89</v>
      </c>
      <c r="B34" s="182"/>
      <c r="C34" s="182"/>
      <c r="E34" s="182" t="s">
        <v>88</v>
      </c>
      <c r="F34" s="182"/>
      <c r="G34" s="18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</row>
    <row r="35" spans="1:126" ht="24" customHeight="1">
      <c r="BU35" s="1"/>
      <c r="BV35" s="1"/>
      <c r="BW35" s="1"/>
      <c r="BX35" s="1"/>
      <c r="BY35" s="1"/>
      <c r="BZ35" s="1"/>
      <c r="CA35" s="1"/>
      <c r="CB35" s="1"/>
      <c r="CC35" s="1"/>
    </row>
    <row r="36" spans="1:126" ht="24" customHeight="1">
      <c r="A36" s="182" t="s">
        <v>87</v>
      </c>
      <c r="B36" s="182"/>
      <c r="C36" s="27"/>
    </row>
    <row r="37" spans="1:126" ht="24" hidden="1" customHeight="1">
      <c r="B37" s="1"/>
      <c r="C37" s="1"/>
    </row>
  </sheetData>
  <sheetProtection password="EE20" sheet="1" selectLockedCells="1" selectUnlockedCells="1"/>
  <mergeCells count="18">
    <mergeCell ref="A28:C28"/>
    <mergeCell ref="AX5:BJ5"/>
    <mergeCell ref="AD5:AP5"/>
    <mergeCell ref="E28:G28"/>
    <mergeCell ref="BR5:CD5"/>
    <mergeCell ref="E19:G19"/>
    <mergeCell ref="E23:G23"/>
    <mergeCell ref="E11:G11"/>
    <mergeCell ref="E34:G34"/>
    <mergeCell ref="A23:C23"/>
    <mergeCell ref="A34:C34"/>
    <mergeCell ref="A36:B36"/>
    <mergeCell ref="DF3:DP3"/>
    <mergeCell ref="DF5:DS5"/>
    <mergeCell ref="A11:C11"/>
    <mergeCell ref="A19:C19"/>
    <mergeCell ref="J5:V5"/>
    <mergeCell ref="CL5:CX5"/>
  </mergeCells>
  <phoneticPr fontId="1" type="noConversion"/>
  <printOptions headings="1" gridLines="1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Input Output</vt:lpstr>
      <vt:lpstr>Table for Graphs</vt:lpstr>
      <vt:lpstr> Clearance Angle</vt:lpstr>
      <vt:lpstr> Relieving Char.</vt:lpstr>
      <vt:lpstr>'Table for Graphs'!RC</vt:lpstr>
      <vt:lpstr>'Table for Graphs'!RC_1</vt:lpstr>
      <vt:lpstr>'Table for Graphs'!RC_2</vt:lpstr>
      <vt:lpstr>'Table for Graphs'!RC_3</vt:lpstr>
      <vt:lpstr>'Table for Graphs'!RC_4</vt:lpstr>
      <vt:lpstr>'Table for Graphs'!RC_5</vt:lpstr>
      <vt:lpstr>'Table for Graphs'!RC_6</vt:lpstr>
      <vt:lpstr>'Table for Graphs'!XM</vt:lpstr>
      <vt:lpstr>'Table for Graphs'!XM_1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hugel</dc:creator>
  <cp:lastModifiedBy>Neil</cp:lastModifiedBy>
  <cp:lastPrinted>2008-08-21T08:26:57Z</cp:lastPrinted>
  <dcterms:created xsi:type="dcterms:W3CDTF">2005-08-20T14:31:03Z</dcterms:created>
  <dcterms:modified xsi:type="dcterms:W3CDTF">2017-01-11T08:48:40Z</dcterms:modified>
</cp:coreProperties>
</file>